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5bebf7bdbd7d35c/Skrivbord/"/>
    </mc:Choice>
  </mc:AlternateContent>
  <xr:revisionPtr revIDLastSave="1" documentId="8_{D22F4B85-E764-41AF-9C27-7D645DC98808}" xr6:coauthVersionLast="47" xr6:coauthVersionMax="47" xr10:uidLastSave="{056A1CA0-FF68-4243-863C-7919DB56E00B}"/>
  <bookViews>
    <workbookView xWindow="-120" yWindow="-120" windowWidth="51840" windowHeight="21120" xr2:uid="{AB81740B-BD7A-4E08-AD1A-151D089065BD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" l="1"/>
  <c r="F169" i="1"/>
  <c r="F170" i="1" s="1"/>
  <c r="E169" i="1"/>
  <c r="E170" i="1" s="1"/>
  <c r="F168" i="1"/>
  <c r="E168" i="1"/>
  <c r="E172" i="1" s="1"/>
  <c r="E164" i="1"/>
  <c r="E163" i="1"/>
  <c r="F160" i="1"/>
  <c r="F163" i="1" s="1"/>
  <c r="F164" i="1" s="1"/>
  <c r="E160" i="1"/>
  <c r="E161" i="1" s="1"/>
  <c r="F155" i="1"/>
  <c r="E155" i="1"/>
  <c r="E142" i="1"/>
  <c r="E123" i="1"/>
  <c r="D123" i="1"/>
  <c r="C123" i="1"/>
  <c r="F121" i="1"/>
  <c r="F123" i="1" s="1"/>
  <c r="E121" i="1"/>
  <c r="D121" i="1"/>
  <c r="C121" i="1"/>
  <c r="F118" i="1"/>
  <c r="E118" i="1"/>
  <c r="D118" i="1"/>
  <c r="C118" i="1"/>
  <c r="F111" i="1"/>
  <c r="E111" i="1"/>
  <c r="D111" i="1"/>
  <c r="C111" i="1"/>
  <c r="F103" i="1"/>
  <c r="E103" i="1"/>
  <c r="D103" i="1"/>
  <c r="C103" i="1"/>
  <c r="F88" i="1"/>
  <c r="E88" i="1"/>
  <c r="D88" i="1"/>
  <c r="C88" i="1"/>
  <c r="F86" i="1"/>
  <c r="F84" i="1"/>
  <c r="F82" i="1"/>
  <c r="F78" i="1"/>
  <c r="F76" i="1"/>
  <c r="E76" i="1"/>
  <c r="D76" i="1"/>
  <c r="C76" i="1"/>
  <c r="F53" i="1"/>
  <c r="F90" i="1" s="1"/>
  <c r="E53" i="1"/>
  <c r="E90" i="1" s="1"/>
  <c r="D53" i="1"/>
  <c r="D90" i="1" s="1"/>
  <c r="C53" i="1"/>
  <c r="C90" i="1" s="1"/>
  <c r="F52" i="1"/>
  <c r="F49" i="1"/>
  <c r="F48" i="1"/>
  <c r="F47" i="1"/>
  <c r="H37" i="1"/>
  <c r="H32" i="1"/>
  <c r="F26" i="1"/>
  <c r="E26" i="1"/>
  <c r="D26" i="1"/>
  <c r="C26" i="1"/>
  <c r="C28" i="1" s="1"/>
  <c r="F22" i="1"/>
  <c r="F28" i="1" s="1"/>
  <c r="F92" i="1" s="1"/>
  <c r="F105" i="1" s="1"/>
  <c r="F113" i="1" s="1"/>
  <c r="E22" i="1"/>
  <c r="E28" i="1" s="1"/>
  <c r="E92" i="1" s="1"/>
  <c r="E105" i="1" s="1"/>
  <c r="E113" i="1" s="1"/>
  <c r="E125" i="1" s="1"/>
  <c r="E149" i="1" s="1"/>
  <c r="E150" i="1" s="1"/>
  <c r="F148" i="1" s="1"/>
  <c r="D22" i="1"/>
  <c r="D28" i="1" s="1"/>
  <c r="D92" i="1" s="1"/>
  <c r="D105" i="1" s="1"/>
  <c r="D113" i="1" s="1"/>
  <c r="D125" i="1" s="1"/>
  <c r="C22" i="1"/>
  <c r="F12" i="1"/>
  <c r="E12" i="1"/>
  <c r="D12" i="1"/>
  <c r="C12" i="1"/>
  <c r="H7" i="1"/>
  <c r="H6" i="1"/>
  <c r="F125" i="1" l="1"/>
  <c r="F149" i="1" s="1"/>
  <c r="F150" i="1" s="1"/>
  <c r="C92" i="1"/>
  <c r="C105" i="1" s="1"/>
  <c r="C113" i="1" s="1"/>
  <c r="C125" i="1" s="1"/>
  <c r="F161" i="1"/>
</calcChain>
</file>

<file path=xl/sharedStrings.xml><?xml version="1.0" encoding="utf-8"?>
<sst xmlns="http://schemas.openxmlformats.org/spreadsheetml/2006/main" count="162" uniqueCount="158">
  <si>
    <t>Brf Snöfrid</t>
  </si>
  <si>
    <t>Budgetutkast 2025</t>
  </si>
  <si>
    <t>Resultat 2024</t>
  </si>
  <si>
    <t>Budget</t>
  </si>
  <si>
    <t>Prognos</t>
  </si>
  <si>
    <t>Kommentarer</t>
  </si>
  <si>
    <t>Beräkningar</t>
  </si>
  <si>
    <t xml:space="preserve"> Jan - Aug</t>
  </si>
  <si>
    <t>Föreningens intäkter</t>
  </si>
  <si>
    <t>Hyror, bostäder</t>
  </si>
  <si>
    <t>5 % höjning 2025</t>
  </si>
  <si>
    <t>Hyror, lokaler/förråd utan moms</t>
  </si>
  <si>
    <t>Hyror, övriga objekt ej moms</t>
  </si>
  <si>
    <t>Årsavgifter, bostäder</t>
  </si>
  <si>
    <t>Kabel-TV/Bredband</t>
  </si>
  <si>
    <t>Uteblivna hyror, lokal ej moms</t>
  </si>
  <si>
    <t>vi har inga lokaler</t>
  </si>
  <si>
    <t xml:space="preserve">         Årsavgifter och hyror</t>
  </si>
  <si>
    <t>Påminnelseavgifter</t>
  </si>
  <si>
    <t>Aviavgift</t>
  </si>
  <si>
    <t>Övernattnings-/gästlägenhet</t>
  </si>
  <si>
    <t>Överlåtelseavgifter</t>
  </si>
  <si>
    <t>Pantsättningsavgifter</t>
  </si>
  <si>
    <t>Avgift andrahandsupplåtelse</t>
  </si>
  <si>
    <t>3 lgh uthyrda i andrahand 2025</t>
  </si>
  <si>
    <t>Öresutjämning</t>
  </si>
  <si>
    <t>Övriga rörelseintäkter</t>
  </si>
  <si>
    <t xml:space="preserve">         Övriga intäkter</t>
  </si>
  <si>
    <t>Återvunna avgift-/hyresfordr.</t>
  </si>
  <si>
    <t>Erhållna statliga bidrag</t>
  </si>
  <si>
    <t xml:space="preserve">         Erhållna bidrag</t>
  </si>
  <si>
    <t>Summa föreningens intäkter</t>
  </si>
  <si>
    <t>Drift- och underhållskostnader</t>
  </si>
  <si>
    <t>Fast.skötsel material o varor</t>
  </si>
  <si>
    <t>Fastighetsskötsel enl. avtal</t>
  </si>
  <si>
    <t>Fast.skötsel, beställningar</t>
  </si>
  <si>
    <t>Snöröjning, sandning m m</t>
  </si>
  <si>
    <t>Trädgårdsskötsel</t>
  </si>
  <si>
    <t>Markskötsel</t>
  </si>
  <si>
    <t>Städning enl. avtal</t>
  </si>
  <si>
    <t>Mattvätt/-service</t>
  </si>
  <si>
    <t>Klottersanering</t>
  </si>
  <si>
    <t>Hissbesiktning</t>
  </si>
  <si>
    <t>Myndighetsavgifter/-tillsyn</t>
  </si>
  <si>
    <t>Bevakning, jour, utryckning</t>
  </si>
  <si>
    <t>Hiss serviceavtal</t>
  </si>
  <si>
    <t>Serviceavtal, övriga</t>
  </si>
  <si>
    <t>BoStyret</t>
  </si>
  <si>
    <t>Övrig tillsyn och skötsel</t>
  </si>
  <si>
    <t>El, fastighetsgemens. utrymmen</t>
  </si>
  <si>
    <t>Fjärrvärme</t>
  </si>
  <si>
    <t>Exergi höjer fjärrvärmen med 6,2%</t>
  </si>
  <si>
    <t>Vatten och avlopp</t>
  </si>
  <si>
    <t>Svoa höjer med 14%</t>
  </si>
  <si>
    <t>Sophämtning/renhållning</t>
  </si>
  <si>
    <t>Estimerad höjning om 10%</t>
  </si>
  <si>
    <t>Grovsopor, tidningar</t>
  </si>
  <si>
    <t>Kabel-TV/Telefoni/Porttelefon</t>
  </si>
  <si>
    <t>Bredband/Internet/Kabel-TV</t>
  </si>
  <si>
    <t>Estimerad höjning om 5%</t>
  </si>
  <si>
    <t xml:space="preserve">         Drift och skötsel</t>
  </si>
  <si>
    <t>Rep Bostad</t>
  </si>
  <si>
    <t>Rep Fastighetsgemens. utrymmen</t>
  </si>
  <si>
    <t>Rep Tvättutrustning</t>
  </si>
  <si>
    <t>Rep Låsinstallationer</t>
  </si>
  <si>
    <t>Rep Brand-/säkerhetsinstall.</t>
  </si>
  <si>
    <t>Rep Vatten och avlopp</t>
  </si>
  <si>
    <t>Rep Värme- och kylsystem</t>
  </si>
  <si>
    <t>Rep Ventilationssystem</t>
  </si>
  <si>
    <t>Rep Elinstallationer</t>
  </si>
  <si>
    <t>Rep Hissinstallationer</t>
  </si>
  <si>
    <t>Rep Renhållningsinstallationer</t>
  </si>
  <si>
    <t>Rep Fasad och tak</t>
  </si>
  <si>
    <t>Rep Fönster och dörrar</t>
  </si>
  <si>
    <t>Rep Vattenskador</t>
  </si>
  <si>
    <t>Övriga reparationer</t>
  </si>
  <si>
    <t>Baserat på utfallet av alla reparationskostnader</t>
  </si>
  <si>
    <t>Unh Bostad</t>
  </si>
  <si>
    <t>Unh Värme- och kylsystem</t>
  </si>
  <si>
    <t>Unh Ventilationssystem</t>
  </si>
  <si>
    <t>Unh Fasad och tak</t>
  </si>
  <si>
    <t>Unh Fönster och dörrar</t>
  </si>
  <si>
    <t>Övriga underhållskostnader</t>
  </si>
  <si>
    <t>Vi har inte tillgång till UH-planen</t>
  </si>
  <si>
    <t xml:space="preserve">         Underhåll och reparationer</t>
  </si>
  <si>
    <t>Fastighetsförsäkringar</t>
  </si>
  <si>
    <t>Hyresförhandling bostad</t>
  </si>
  <si>
    <t>Fakt. överlåtelseavgift</t>
  </si>
  <si>
    <t>Fakt. pantsättningsavgift</t>
  </si>
  <si>
    <t>Arvode ekonom/adm förvaltning</t>
  </si>
  <si>
    <t>Indexhöjning om 5%</t>
  </si>
  <si>
    <t>Arvode uppdrag/utredningar förv.</t>
  </si>
  <si>
    <t>Direct</t>
  </si>
  <si>
    <t>Fastighetsskatt</t>
  </si>
  <si>
    <t>Fastighetsavgift bostad</t>
  </si>
  <si>
    <t>Justering skatt tidigare år</t>
  </si>
  <si>
    <t xml:space="preserve">         Övriga förvaltningskostnader</t>
  </si>
  <si>
    <t>Summa drift- och underhållskostn.</t>
  </si>
  <si>
    <t>Driftnetto</t>
  </si>
  <si>
    <t>Inkassokostnader</t>
  </si>
  <si>
    <t>Telefon/datakommunikation</t>
  </si>
  <si>
    <t>Styrelsearvode</t>
  </si>
  <si>
    <t>Enligt stämmoprotokoll</t>
  </si>
  <si>
    <t>Sociala avg. på styrelsearvode</t>
  </si>
  <si>
    <t>Revisionsarvoden</t>
  </si>
  <si>
    <t>Föreningskostnader (stämma m m)</t>
  </si>
  <si>
    <t>Styrelseutlägg</t>
  </si>
  <si>
    <t>Bankkostnader</t>
  </si>
  <si>
    <t>Bol.verket - reg.avgifter</t>
  </si>
  <si>
    <t>Föreningsavgifter</t>
  </si>
  <si>
    <t xml:space="preserve">         Föreningens övriga kostnader</t>
  </si>
  <si>
    <t>Resultat före avskrivningar/nedskr.</t>
  </si>
  <si>
    <t>Avskrivningar/Nedskrivningar</t>
  </si>
  <si>
    <t>Avskrivning byggnader</t>
  </si>
  <si>
    <t>Avskr till-/ombyggn, renover.</t>
  </si>
  <si>
    <t>Avskr mask. &amp; inventarier</t>
  </si>
  <si>
    <t xml:space="preserve">         Avskrivningar/nedskrivningar</t>
  </si>
  <si>
    <t>Resultat efter avskrivningar/nedskr.</t>
  </si>
  <si>
    <t>Ränteintäkter bank</t>
  </si>
  <si>
    <t>Placering Swedbank + marginalen</t>
  </si>
  <si>
    <t>Ränteint. avg-/hyresfordringar</t>
  </si>
  <si>
    <t>Ränteintäkter, skattefria</t>
  </si>
  <si>
    <t xml:space="preserve">         Övr ränteintäkter o liknande re</t>
  </si>
  <si>
    <t>Räntekostnader lev.skulder</t>
  </si>
  <si>
    <t xml:space="preserve">         Räntekostnader och liknande</t>
  </si>
  <si>
    <t>Summa finansiella poster</t>
  </si>
  <si>
    <t>Resultat efter finansiella poster</t>
  </si>
  <si>
    <t>LIKVIDITETSPROGNOS</t>
  </si>
  <si>
    <t>Ej resultatpåverkande likviditetsposter</t>
  </si>
  <si>
    <t>Amortering fastighetslån enl. plan (-)</t>
  </si>
  <si>
    <t>Extra amortering (-)</t>
  </si>
  <si>
    <t>Upptagande nytt lån (+)</t>
  </si>
  <si>
    <t>Upplåtelse bostadsrätt (+)</t>
  </si>
  <si>
    <t>Aktiverade UH-åtgärder (-)</t>
  </si>
  <si>
    <t>Mottagna (+)/återbetalade (-) depositioner</t>
  </si>
  <si>
    <r>
      <t>Nettoförändring av kortfristiga fordringar</t>
    </r>
    <r>
      <rPr>
        <i/>
        <sz val="11"/>
        <color theme="1"/>
        <rFont val="Aptos Narrow"/>
        <family val="2"/>
        <scheme val="minor"/>
      </rPr>
      <t xml:space="preserve"> (minskn +/ökning -) &amp; </t>
    </r>
    <r>
      <rPr>
        <sz val="11"/>
        <color theme="1"/>
        <rFont val="Aptos Narrow"/>
        <family val="2"/>
        <scheme val="minor"/>
      </rPr>
      <t xml:space="preserve">skulder </t>
    </r>
    <r>
      <rPr>
        <i/>
        <sz val="11"/>
        <color theme="1"/>
        <rFont val="Aptos Narrow"/>
        <family val="2"/>
        <scheme val="minor"/>
      </rPr>
      <t>(ökning +/ minskning -)</t>
    </r>
  </si>
  <si>
    <t>-</t>
  </si>
  <si>
    <t>Ej likviditespåverkande resultatposter</t>
  </si>
  <si>
    <t>Avskrivningar (+)</t>
  </si>
  <si>
    <t>Ingående likviditet för året</t>
  </si>
  <si>
    <r>
      <t>Likviditetsökning/-</t>
    </r>
    <r>
      <rPr>
        <b/>
        <i/>
        <sz val="12"/>
        <color rgb="FFFF0000"/>
        <rFont val="Aptos Narrow"/>
        <family val="2"/>
        <scheme val="minor"/>
      </rPr>
      <t>minskning</t>
    </r>
    <r>
      <rPr>
        <b/>
        <i/>
        <sz val="12"/>
        <color theme="1"/>
        <rFont val="Aptos Narrow"/>
        <family val="2"/>
        <scheme val="minor"/>
      </rPr>
      <t xml:space="preserve"> under året</t>
    </r>
  </si>
  <si>
    <t>Utgående likviditet för året</t>
  </si>
  <si>
    <t>FÖRENINGENS "SPARANDE"</t>
  </si>
  <si>
    <t>Rekommenderat schablonsparande 250 kr/kvm BOA + LOA och år</t>
  </si>
  <si>
    <t>BOA</t>
  </si>
  <si>
    <t>LOA</t>
  </si>
  <si>
    <t>Resultat före avskrivningar reducerat med finansnetto</t>
  </si>
  <si>
    <r>
      <t xml:space="preserve">Återföres: genomförda underhållsåtgärder enl. UH-plan </t>
    </r>
    <r>
      <rPr>
        <i/>
        <sz val="11"/>
        <color theme="1"/>
        <rFont val="Aptos Narrow"/>
        <family val="2"/>
        <scheme val="minor"/>
      </rPr>
      <t>(reducerat med ev. nyupptagna lån)</t>
    </r>
  </si>
  <si>
    <t>SUMMA FÖRENINGENS "SPARANDE"</t>
  </si>
  <si>
    <t>FÖRENINGENS "SPARANDE"/KVM BOA+LOA</t>
  </si>
  <si>
    <r>
      <t>Över-/</t>
    </r>
    <r>
      <rPr>
        <b/>
        <i/>
        <sz val="12"/>
        <color rgb="FFFF0000"/>
        <rFont val="Aptos Narrow"/>
        <family val="2"/>
        <scheme val="minor"/>
      </rPr>
      <t>under</t>
    </r>
    <r>
      <rPr>
        <b/>
        <i/>
        <sz val="12"/>
        <rFont val="Aptos Narrow"/>
        <family val="2"/>
        <scheme val="minor"/>
      </rPr>
      <t>skott</t>
    </r>
    <r>
      <rPr>
        <b/>
        <i/>
        <sz val="12"/>
        <color theme="1"/>
        <rFont val="Aptos Narrow"/>
        <family val="2"/>
        <scheme val="minor"/>
      </rPr>
      <t xml:space="preserve"> jämfört med rekommenderat sparande</t>
    </r>
  </si>
  <si>
    <r>
      <t>Över-/</t>
    </r>
    <r>
      <rPr>
        <b/>
        <i/>
        <sz val="12"/>
        <color rgb="FFFF0000"/>
        <rFont val="Aptos Narrow"/>
        <family val="2"/>
        <scheme val="minor"/>
      </rPr>
      <t>under</t>
    </r>
    <r>
      <rPr>
        <b/>
        <i/>
        <sz val="12"/>
        <rFont val="Aptos Narrow"/>
        <family val="2"/>
        <scheme val="minor"/>
      </rPr>
      <t>skott</t>
    </r>
    <r>
      <rPr>
        <b/>
        <i/>
        <sz val="12"/>
        <color theme="1"/>
        <rFont val="Aptos Narrow"/>
        <family val="2"/>
        <scheme val="minor"/>
      </rPr>
      <t xml:space="preserve"> per kvm BOA+LOA jämfört med rekommenderat sparande</t>
    </r>
  </si>
  <si>
    <t>FÖRENINGENS BELÅNINGSGRAD</t>
  </si>
  <si>
    <t>Föreningens belåning per kvm BOA</t>
  </si>
  <si>
    <t>Fastighetens "belåningsvärde" per kvm BOA*</t>
  </si>
  <si>
    <r>
      <t>Föreningens "</t>
    </r>
    <r>
      <rPr>
        <b/>
        <sz val="12"/>
        <color rgb="FFFF0000"/>
        <rFont val="Aptos Narrow"/>
        <family val="2"/>
        <scheme val="minor"/>
      </rPr>
      <t>över</t>
    </r>
    <r>
      <rPr>
        <b/>
        <sz val="12"/>
        <rFont val="Aptos Narrow"/>
        <family val="2"/>
        <scheme val="minor"/>
      </rPr>
      <t>-/underbelåning" per kvm BOA</t>
    </r>
  </si>
  <si>
    <r>
      <t>Föreningens belåningsgrad (</t>
    </r>
    <r>
      <rPr>
        <b/>
        <i/>
        <sz val="12"/>
        <color rgb="FFFF0000"/>
        <rFont val="Aptos Narrow"/>
        <family val="2"/>
        <scheme val="minor"/>
      </rPr>
      <t xml:space="preserve">bör EJ överstiga 20 % </t>
    </r>
    <r>
      <rPr>
        <b/>
        <i/>
        <sz val="12"/>
        <rFont val="Aptos Narrow"/>
        <family val="2"/>
        <scheme val="minor"/>
      </rPr>
      <t>=&gt; medlemsbelåning 80 %</t>
    </r>
    <r>
      <rPr>
        <b/>
        <i/>
        <sz val="12"/>
        <color theme="1"/>
        <rFont val="Aptos Narrow"/>
        <family val="2"/>
        <scheme val="minor"/>
      </rPr>
      <t>)</t>
    </r>
  </si>
  <si>
    <t>*Genomsnittligt kvm-pris på avslut utförda senaste 1 ½ året x 75 % = kreditgivarnas låneutrymme.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</si>
</sst>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\ &quot;kr&quot;"/>
    <numFmt numFmtId="166" formatCode="0.0%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u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2" borderId="0" xfId="0" applyFont="1" applyFill="1"/>
    <xf numFmtId="0" fontId="5" fillId="0" borderId="0" xfId="0" applyFont="1"/>
    <xf numFmtId="0" fontId="6" fillId="0" borderId="0" xfId="0" applyFont="1"/>
    <xf numFmtId="0" fontId="0" fillId="2" borderId="0" xfId="0" applyFill="1"/>
    <xf numFmtId="4" fontId="5" fillId="0" borderId="0" xfId="0" applyNumberFormat="1" applyFont="1"/>
    <xf numFmtId="3" fontId="0" fillId="0" borderId="0" xfId="0" applyNumberFormat="1"/>
    <xf numFmtId="3" fontId="3" fillId="2" borderId="0" xfId="0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3" fontId="0" fillId="2" borderId="0" xfId="0" applyNumberFormat="1" applyFill="1"/>
    <xf numFmtId="4" fontId="6" fillId="0" borderId="0" xfId="0" applyNumberFormat="1" applyFont="1"/>
    <xf numFmtId="4" fontId="6" fillId="2" borderId="0" xfId="0" applyNumberFormat="1" applyFont="1" applyFill="1"/>
    <xf numFmtId="0" fontId="4" fillId="0" borderId="0" xfId="0" applyFont="1"/>
    <xf numFmtId="3" fontId="6" fillId="0" borderId="0" xfId="0" applyNumberFormat="1" applyFont="1"/>
    <xf numFmtId="3" fontId="6" fillId="2" borderId="0" xfId="0" applyNumberFormat="1" applyFont="1" applyFill="1"/>
    <xf numFmtId="3" fontId="1" fillId="0" borderId="0" xfId="0" applyNumberFormat="1" applyFont="1"/>
    <xf numFmtId="3" fontId="1" fillId="2" borderId="0" xfId="0" applyNumberFormat="1" applyFont="1" applyFill="1"/>
    <xf numFmtId="3" fontId="0" fillId="2" borderId="0" xfId="0" applyNumberForma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8" fillId="0" borderId="0" xfId="0" applyFont="1"/>
    <xf numFmtId="3" fontId="5" fillId="3" borderId="0" xfId="0" applyNumberFormat="1" applyFont="1" applyFill="1"/>
    <xf numFmtId="0" fontId="9" fillId="0" borderId="1" xfId="0" applyFont="1" applyBorder="1"/>
    <xf numFmtId="3" fontId="0" fillId="0" borderId="2" xfId="0" applyNumberFormat="1" applyBorder="1"/>
    <xf numFmtId="1" fontId="1" fillId="0" borderId="2" xfId="0" applyNumberFormat="1" applyFont="1" applyBorder="1"/>
    <xf numFmtId="0" fontId="1" fillId="2" borderId="3" xfId="0" applyFont="1" applyFill="1" applyBorder="1"/>
    <xf numFmtId="0" fontId="0" fillId="0" borderId="4" xfId="0" applyBorder="1"/>
    <xf numFmtId="0" fontId="0" fillId="2" borderId="5" xfId="0" applyFill="1" applyBorder="1"/>
    <xf numFmtId="0" fontId="10" fillId="0" borderId="4" xfId="0" applyFont="1" applyBorder="1"/>
    <xf numFmtId="0" fontId="0" fillId="3" borderId="5" xfId="0" applyFill="1" applyBorder="1"/>
    <xf numFmtId="164" fontId="0" fillId="0" borderId="0" xfId="0" applyNumberFormat="1"/>
    <xf numFmtId="164" fontId="0" fillId="3" borderId="5" xfId="0" applyNumberFormat="1" applyFill="1" applyBorder="1"/>
    <xf numFmtId="0" fontId="11" fillId="0" borderId="4" xfId="0" applyFont="1" applyBorder="1"/>
    <xf numFmtId="164" fontId="0" fillId="0" borderId="0" xfId="0" applyNumberFormat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1" fillId="3" borderId="5" xfId="0" applyNumberFormat="1" applyFont="1" applyFill="1" applyBorder="1"/>
    <xf numFmtId="3" fontId="1" fillId="3" borderId="5" xfId="0" applyNumberFormat="1" applyFont="1" applyFill="1" applyBorder="1"/>
    <xf numFmtId="0" fontId="12" fillId="0" borderId="4" xfId="0" applyFont="1" applyBorder="1"/>
    <xf numFmtId="3" fontId="13" fillId="0" borderId="0" xfId="0" applyNumberFormat="1" applyFont="1"/>
    <xf numFmtId="164" fontId="14" fillId="0" borderId="0" xfId="0" applyNumberFormat="1" applyFont="1"/>
    <xf numFmtId="164" fontId="14" fillId="3" borderId="5" xfId="0" applyNumberFormat="1" applyFont="1" applyFill="1" applyBorder="1"/>
    <xf numFmtId="0" fontId="12" fillId="0" borderId="6" xfId="0" applyFont="1" applyBorder="1"/>
    <xf numFmtId="3" fontId="13" fillId="0" borderId="7" xfId="0" applyNumberFormat="1" applyFont="1" applyBorder="1"/>
    <xf numFmtId="164" fontId="14" fillId="0" borderId="7" xfId="0" applyNumberFormat="1" applyFont="1" applyBorder="1"/>
    <xf numFmtId="164" fontId="14" fillId="3" borderId="8" xfId="0" applyNumberFormat="1" applyFont="1" applyFill="1" applyBorder="1"/>
    <xf numFmtId="49" fontId="9" fillId="0" borderId="1" xfId="0" applyNumberFormat="1" applyFont="1" applyBorder="1"/>
    <xf numFmtId="0" fontId="1" fillId="3" borderId="3" xfId="0" applyFont="1" applyFill="1" applyBorder="1"/>
    <xf numFmtId="49" fontId="0" fillId="0" borderId="4" xfId="0" applyNumberFormat="1" applyBorder="1"/>
    <xf numFmtId="49" fontId="12" fillId="0" borderId="4" xfId="0" applyNumberFormat="1" applyFont="1" applyBorder="1"/>
    <xf numFmtId="165" fontId="14" fillId="0" borderId="0" xfId="0" applyNumberFormat="1" applyFont="1" applyAlignment="1">
      <alignment horizontal="left"/>
    </xf>
    <xf numFmtId="49" fontId="10" fillId="0" borderId="4" xfId="0" applyNumberFormat="1" applyFont="1" applyBorder="1"/>
    <xf numFmtId="3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left"/>
    </xf>
    <xf numFmtId="164" fontId="13" fillId="3" borderId="5" xfId="0" applyNumberFormat="1" applyFont="1" applyFill="1" applyBorder="1"/>
    <xf numFmtId="164" fontId="1" fillId="0" borderId="0" xfId="0" applyNumberFormat="1" applyFont="1"/>
    <xf numFmtId="49" fontId="14" fillId="0" borderId="4" xfId="0" applyNumberFormat="1" applyFont="1" applyBorder="1"/>
    <xf numFmtId="164" fontId="14" fillId="0" borderId="0" xfId="0" applyNumberFormat="1" applyFont="1" applyAlignment="1">
      <alignment horizontal="right"/>
    </xf>
    <xf numFmtId="164" fontId="14" fillId="3" borderId="5" xfId="0" applyNumberFormat="1" applyFont="1" applyFill="1" applyBorder="1" applyAlignment="1">
      <alignment horizontal="right"/>
    </xf>
    <xf numFmtId="49" fontId="12" fillId="0" borderId="0" xfId="0" applyNumberFormat="1" applyFont="1"/>
    <xf numFmtId="49" fontId="9" fillId="0" borderId="4" xfId="0" applyNumberFormat="1" applyFont="1" applyBorder="1"/>
    <xf numFmtId="49" fontId="17" fillId="0" borderId="4" xfId="0" applyNumberFormat="1" applyFont="1" applyBorder="1"/>
    <xf numFmtId="3" fontId="14" fillId="0" borderId="0" xfId="0" applyNumberFormat="1" applyFont="1"/>
    <xf numFmtId="3" fontId="14" fillId="3" borderId="5" xfId="0" applyNumberFormat="1" applyFont="1" applyFill="1" applyBorder="1"/>
    <xf numFmtId="166" fontId="14" fillId="0" borderId="0" xfId="0" applyNumberFormat="1" applyFont="1"/>
    <xf numFmtId="166" fontId="14" fillId="3" borderId="5" xfId="0" applyNumberFormat="1" applyFont="1" applyFill="1" applyBorder="1"/>
    <xf numFmtId="166" fontId="1" fillId="0" borderId="0" xfId="0" applyNumberFormat="1" applyFont="1"/>
    <xf numFmtId="166" fontId="1" fillId="3" borderId="5" xfId="0" applyNumberFormat="1" applyFont="1" applyFill="1" applyBorder="1"/>
    <xf numFmtId="49" fontId="11" fillId="0" borderId="6" xfId="0" applyNumberFormat="1" applyFont="1" applyBorder="1"/>
    <xf numFmtId="3" fontId="14" fillId="0" borderId="7" xfId="0" applyNumberFormat="1" applyFont="1" applyBorder="1"/>
    <xf numFmtId="3" fontId="14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F695-2D45-40F4-A8B1-85DBE4E36DE6}">
  <dimension ref="A1:H174"/>
  <sheetViews>
    <sheetView tabSelected="1" workbookViewId="0">
      <pane ySplit="4" topLeftCell="A77" activePane="bottomLeft" state="frozen"/>
      <selection pane="bottomLeft" activeCell="K18" sqref="K18"/>
    </sheetView>
  </sheetViews>
  <sheetFormatPr defaultColWidth="8.85546875" defaultRowHeight="15" x14ac:dyDescent="0.25"/>
  <cols>
    <col min="1" max="1" width="5" bestFit="1" customWidth="1"/>
    <col min="2" max="2" width="57.7109375" customWidth="1"/>
    <col min="3" max="6" width="12.7109375" customWidth="1"/>
    <col min="7" max="7" width="31.42578125" style="3" hidden="1" customWidth="1"/>
    <col min="8" max="8" width="11.5703125" hidden="1" customWidth="1"/>
  </cols>
  <sheetData>
    <row r="1" spans="1:8" x14ac:dyDescent="0.25">
      <c r="B1" s="1" t="s">
        <v>0</v>
      </c>
      <c r="C1" s="2"/>
    </row>
    <row r="2" spans="1:8" x14ac:dyDescent="0.25">
      <c r="B2" s="2" t="s">
        <v>1</v>
      </c>
    </row>
    <row r="3" spans="1:8" x14ac:dyDescent="0.25">
      <c r="C3" s="4" t="s">
        <v>2</v>
      </c>
      <c r="D3" s="4" t="s">
        <v>3</v>
      </c>
      <c r="E3" s="4" t="s">
        <v>4</v>
      </c>
      <c r="F3" s="5" t="s">
        <v>3</v>
      </c>
      <c r="G3" s="6" t="s">
        <v>5</v>
      </c>
      <c r="H3" s="4" t="s">
        <v>6</v>
      </c>
    </row>
    <row r="4" spans="1:8" x14ac:dyDescent="0.25">
      <c r="C4" s="4" t="s">
        <v>7</v>
      </c>
      <c r="D4" s="4">
        <v>2024</v>
      </c>
      <c r="E4" s="2">
        <v>2024</v>
      </c>
      <c r="F4" s="7">
        <v>2025</v>
      </c>
    </row>
    <row r="5" spans="1:8" x14ac:dyDescent="0.25">
      <c r="A5" s="8"/>
      <c r="B5" s="9" t="s">
        <v>8</v>
      </c>
      <c r="C5" s="8"/>
      <c r="D5" s="8"/>
      <c r="F5" s="10"/>
    </row>
    <row r="6" spans="1:8" x14ac:dyDescent="0.25">
      <c r="A6" s="8">
        <v>3011</v>
      </c>
      <c r="B6" s="8" t="s">
        <v>9</v>
      </c>
      <c r="C6" s="11">
        <v>152214</v>
      </c>
      <c r="D6" s="11">
        <v>242000</v>
      </c>
      <c r="E6" s="12">
        <v>234000</v>
      </c>
      <c r="F6" s="13">
        <v>256000</v>
      </c>
      <c r="G6" s="3" t="s">
        <v>10</v>
      </c>
      <c r="H6">
        <f>20350*12</f>
        <v>244200</v>
      </c>
    </row>
    <row r="7" spans="1:8" x14ac:dyDescent="0.25">
      <c r="A7" s="8">
        <v>3013</v>
      </c>
      <c r="B7" s="8" t="s">
        <v>11</v>
      </c>
      <c r="C7" s="11">
        <v>28455</v>
      </c>
      <c r="D7" s="11">
        <v>36000</v>
      </c>
      <c r="E7" s="12">
        <v>40000</v>
      </c>
      <c r="F7" s="13">
        <v>40000</v>
      </c>
      <c r="H7">
        <f>(3000*12)+4000</f>
        <v>40000</v>
      </c>
    </row>
    <row r="8" spans="1:8" x14ac:dyDescent="0.25">
      <c r="A8" s="8">
        <v>3016</v>
      </c>
      <c r="B8" s="8" t="s">
        <v>12</v>
      </c>
      <c r="C8" s="11">
        <v>18000</v>
      </c>
      <c r="D8" s="11">
        <v>27000</v>
      </c>
      <c r="E8" s="14">
        <v>27000</v>
      </c>
      <c r="F8" s="15">
        <v>10000</v>
      </c>
    </row>
    <row r="9" spans="1:8" x14ac:dyDescent="0.25">
      <c r="A9" s="8">
        <v>3021</v>
      </c>
      <c r="B9" s="8" t="s">
        <v>13</v>
      </c>
      <c r="C9" s="11">
        <v>1654328</v>
      </c>
      <c r="D9" s="11">
        <v>2481000</v>
      </c>
      <c r="E9" s="14">
        <v>2481000</v>
      </c>
      <c r="F9" s="15">
        <v>2481000</v>
      </c>
    </row>
    <row r="10" spans="1:8" x14ac:dyDescent="0.25">
      <c r="A10" s="8">
        <v>3070</v>
      </c>
      <c r="B10" s="8" t="s">
        <v>14</v>
      </c>
      <c r="C10" s="11">
        <v>52640</v>
      </c>
      <c r="D10" s="11">
        <v>79000</v>
      </c>
      <c r="E10" s="14">
        <v>79000</v>
      </c>
      <c r="F10" s="16">
        <v>115000</v>
      </c>
    </row>
    <row r="11" spans="1:8" x14ac:dyDescent="0.25">
      <c r="A11" s="8">
        <v>3083</v>
      </c>
      <c r="B11" s="8" t="s">
        <v>15</v>
      </c>
      <c r="C11" s="11">
        <v>-12000</v>
      </c>
      <c r="D11" s="11">
        <v>-18000</v>
      </c>
      <c r="E11" s="14">
        <v>-18000</v>
      </c>
      <c r="F11" s="15">
        <v>0</v>
      </c>
      <c r="G11" s="3" t="s">
        <v>16</v>
      </c>
    </row>
    <row r="12" spans="1:8" s="2" customFormat="1" x14ac:dyDescent="0.25">
      <c r="A12" s="8"/>
      <c r="B12" s="9" t="s">
        <v>17</v>
      </c>
      <c r="C12" s="17">
        <f>SUM(C6:C11)</f>
        <v>1893637</v>
      </c>
      <c r="D12" s="17">
        <f t="shared" ref="D12:F12" si="0">SUM(D6:D11)</f>
        <v>2847000</v>
      </c>
      <c r="E12" s="17">
        <f t="shared" si="0"/>
        <v>2843000</v>
      </c>
      <c r="F12" s="18">
        <f t="shared" si="0"/>
        <v>2902000</v>
      </c>
      <c r="G12" s="19"/>
    </row>
    <row r="13" spans="1:8" x14ac:dyDescent="0.25">
      <c r="A13" s="8"/>
      <c r="B13" s="8"/>
      <c r="C13" s="8"/>
      <c r="D13" s="8"/>
      <c r="E13" s="14"/>
      <c r="F13" s="15"/>
    </row>
    <row r="14" spans="1:8" x14ac:dyDescent="0.25">
      <c r="A14" s="8">
        <v>3541</v>
      </c>
      <c r="B14" s="8" t="s">
        <v>18</v>
      </c>
      <c r="C14" s="11">
        <v>401</v>
      </c>
      <c r="D14" s="11">
        <v>0</v>
      </c>
      <c r="E14" s="14">
        <v>500</v>
      </c>
      <c r="F14" s="15">
        <v>0</v>
      </c>
    </row>
    <row r="15" spans="1:8" x14ac:dyDescent="0.25">
      <c r="A15" s="8">
        <v>3560</v>
      </c>
      <c r="B15" s="8" t="s">
        <v>19</v>
      </c>
      <c r="C15" s="11">
        <v>0</v>
      </c>
      <c r="D15" s="11">
        <v>0</v>
      </c>
      <c r="E15" s="14">
        <v>0</v>
      </c>
      <c r="F15" s="15">
        <v>0</v>
      </c>
    </row>
    <row r="16" spans="1:8" x14ac:dyDescent="0.25">
      <c r="A16" s="8">
        <v>3591</v>
      </c>
      <c r="B16" s="8" t="s">
        <v>20</v>
      </c>
      <c r="C16" s="11">
        <v>14350</v>
      </c>
      <c r="D16" s="11">
        <v>30000</v>
      </c>
      <c r="E16" s="14">
        <v>17000</v>
      </c>
      <c r="F16" s="15">
        <v>20000</v>
      </c>
    </row>
    <row r="17" spans="1:8" x14ac:dyDescent="0.25">
      <c r="A17" s="8">
        <v>3671</v>
      </c>
      <c r="B17" s="8" t="s">
        <v>21</v>
      </c>
      <c r="C17" s="11">
        <v>20060</v>
      </c>
      <c r="D17" s="11">
        <v>25000</v>
      </c>
      <c r="E17" s="14">
        <v>30000</v>
      </c>
      <c r="F17" s="15">
        <v>20000</v>
      </c>
    </row>
    <row r="18" spans="1:8" x14ac:dyDescent="0.25">
      <c r="A18" s="8">
        <v>3672</v>
      </c>
      <c r="B18" s="8" t="s">
        <v>22</v>
      </c>
      <c r="C18" s="11">
        <v>8312</v>
      </c>
      <c r="D18" s="11">
        <v>20000</v>
      </c>
      <c r="E18" s="14">
        <v>10000</v>
      </c>
      <c r="F18" s="15">
        <v>20000</v>
      </c>
    </row>
    <row r="19" spans="1:8" x14ac:dyDescent="0.25">
      <c r="A19" s="8">
        <v>3673</v>
      </c>
      <c r="B19" s="8" t="s">
        <v>23</v>
      </c>
      <c r="C19" s="11">
        <v>16248.5</v>
      </c>
      <c r="D19" s="11">
        <v>25000</v>
      </c>
      <c r="E19" s="14">
        <v>24000</v>
      </c>
      <c r="F19" s="15">
        <v>12000</v>
      </c>
      <c r="G19" s="3" t="s">
        <v>24</v>
      </c>
    </row>
    <row r="20" spans="1:8" s="2" customFormat="1" x14ac:dyDescent="0.25">
      <c r="A20" s="8">
        <v>3740</v>
      </c>
      <c r="B20" s="8" t="s">
        <v>25</v>
      </c>
      <c r="C20" s="11">
        <v>2.0699999999999998</v>
      </c>
      <c r="D20" s="11">
        <v>0</v>
      </c>
      <c r="E20" s="20">
        <v>5</v>
      </c>
      <c r="F20" s="21">
        <v>0</v>
      </c>
      <c r="G20" s="19"/>
    </row>
    <row r="21" spans="1:8" x14ac:dyDescent="0.25">
      <c r="A21" s="8">
        <v>3999</v>
      </c>
      <c r="B21" s="8" t="s">
        <v>26</v>
      </c>
      <c r="C21" s="11">
        <v>0</v>
      </c>
      <c r="D21" s="11">
        <v>0</v>
      </c>
      <c r="E21" s="14">
        <v>0</v>
      </c>
      <c r="F21" s="15">
        <v>0</v>
      </c>
    </row>
    <row r="22" spans="1:8" x14ac:dyDescent="0.25">
      <c r="A22" s="8"/>
      <c r="B22" s="9" t="s">
        <v>27</v>
      </c>
      <c r="C22" s="17">
        <f>SUM(C14:C21)</f>
        <v>59373.57</v>
      </c>
      <c r="D22" s="17">
        <f t="shared" ref="D22:F22" si="1">SUM(D14:D21)</f>
        <v>100000</v>
      </c>
      <c r="E22" s="17">
        <f t="shared" si="1"/>
        <v>81505</v>
      </c>
      <c r="F22" s="18">
        <f t="shared" si="1"/>
        <v>72000</v>
      </c>
    </row>
    <row r="23" spans="1:8" x14ac:dyDescent="0.25">
      <c r="A23" s="8"/>
      <c r="B23" s="8"/>
      <c r="C23" s="8"/>
      <c r="D23" s="8"/>
      <c r="E23" s="14"/>
      <c r="F23" s="15"/>
    </row>
    <row r="24" spans="1:8" s="2" customFormat="1" x14ac:dyDescent="0.25">
      <c r="A24" s="8">
        <v>3950</v>
      </c>
      <c r="B24" s="8" t="s">
        <v>28</v>
      </c>
      <c r="C24" s="11">
        <v>0</v>
      </c>
      <c r="D24" s="11">
        <v>0</v>
      </c>
      <c r="E24" s="20">
        <v>0</v>
      </c>
      <c r="F24" s="21">
        <v>0</v>
      </c>
      <c r="G24" s="19"/>
    </row>
    <row r="25" spans="1:8" s="2" customFormat="1" x14ac:dyDescent="0.25">
      <c r="A25" s="8">
        <v>3985</v>
      </c>
      <c r="B25" s="8" t="s">
        <v>29</v>
      </c>
      <c r="C25" s="11">
        <v>0</v>
      </c>
      <c r="D25" s="11">
        <v>0</v>
      </c>
      <c r="E25" s="20">
        <v>0</v>
      </c>
      <c r="F25" s="21">
        <v>0</v>
      </c>
      <c r="G25" s="19"/>
    </row>
    <row r="26" spans="1:8" s="2" customFormat="1" x14ac:dyDescent="0.25">
      <c r="A26" s="8"/>
      <c r="B26" s="9" t="s">
        <v>30</v>
      </c>
      <c r="C26" s="17">
        <f>SUM(C24:C25)</f>
        <v>0</v>
      </c>
      <c r="D26" s="17">
        <f t="shared" ref="D26:F26" si="2">SUM(D24:D25)</f>
        <v>0</v>
      </c>
      <c r="E26" s="17">
        <f t="shared" si="2"/>
        <v>0</v>
      </c>
      <c r="F26" s="18">
        <f t="shared" si="2"/>
        <v>0</v>
      </c>
      <c r="G26" s="19"/>
    </row>
    <row r="27" spans="1:8" s="2" customFormat="1" x14ac:dyDescent="0.25">
      <c r="A27" s="8"/>
      <c r="B27" s="8"/>
      <c r="C27" s="9"/>
      <c r="D27" s="9"/>
      <c r="E27" s="22"/>
      <c r="F27" s="23"/>
      <c r="G27" s="19"/>
    </row>
    <row r="28" spans="1:8" s="2" customFormat="1" x14ac:dyDescent="0.25">
      <c r="A28" s="8"/>
      <c r="B28" s="9" t="s">
        <v>31</v>
      </c>
      <c r="C28" s="17">
        <f>C12+C22+C26</f>
        <v>1953010.57</v>
      </c>
      <c r="D28" s="17">
        <f t="shared" ref="D28:F28" si="3">D12+D22+D26</f>
        <v>2947000</v>
      </c>
      <c r="E28" s="17">
        <f t="shared" si="3"/>
        <v>2924505</v>
      </c>
      <c r="F28" s="18">
        <f t="shared" si="3"/>
        <v>2974000</v>
      </c>
      <c r="G28" s="19"/>
    </row>
    <row r="29" spans="1:8" x14ac:dyDescent="0.25">
      <c r="A29" s="8"/>
      <c r="B29" s="8"/>
      <c r="C29" s="8"/>
      <c r="D29" s="8"/>
      <c r="E29" s="12"/>
      <c r="F29" s="16"/>
    </row>
    <row r="30" spans="1:8" x14ac:dyDescent="0.25">
      <c r="A30" s="8"/>
      <c r="B30" s="9" t="s">
        <v>32</v>
      </c>
      <c r="C30" s="8"/>
      <c r="D30" s="8"/>
      <c r="E30" s="14"/>
      <c r="F30" s="16"/>
    </row>
    <row r="31" spans="1:8" x14ac:dyDescent="0.25">
      <c r="A31" s="8">
        <v>4010</v>
      </c>
      <c r="B31" s="8" t="s">
        <v>33</v>
      </c>
      <c r="C31" s="11">
        <v>-3016.4700000000003</v>
      </c>
      <c r="D31" s="11">
        <v>-10000</v>
      </c>
      <c r="E31" s="12">
        <v>-5000</v>
      </c>
      <c r="F31" s="24">
        <v>-10000</v>
      </c>
    </row>
    <row r="32" spans="1:8" x14ac:dyDescent="0.25">
      <c r="A32" s="8">
        <v>4111</v>
      </c>
      <c r="B32" s="8" t="s">
        <v>34</v>
      </c>
      <c r="C32" s="11">
        <v>-35984</v>
      </c>
      <c r="D32" s="11">
        <v>-54000</v>
      </c>
      <c r="E32" s="12">
        <v>-54000</v>
      </c>
      <c r="F32" s="16">
        <v>-54000</v>
      </c>
      <c r="H32">
        <f>(4284*1.05)*12</f>
        <v>53978.399999999994</v>
      </c>
    </row>
    <row r="33" spans="1:8" x14ac:dyDescent="0.25">
      <c r="A33" s="8">
        <v>4112</v>
      </c>
      <c r="B33" s="8" t="s">
        <v>35</v>
      </c>
      <c r="C33" s="11">
        <v>-3091</v>
      </c>
      <c r="D33" s="11">
        <v>-5000</v>
      </c>
      <c r="E33" s="14">
        <v>-5000</v>
      </c>
      <c r="F33" s="15">
        <v>-5000</v>
      </c>
    </row>
    <row r="34" spans="1:8" x14ac:dyDescent="0.25">
      <c r="A34" s="8">
        <v>4113</v>
      </c>
      <c r="B34" s="8" t="s">
        <v>36</v>
      </c>
      <c r="C34" s="11">
        <v>-2290</v>
      </c>
      <c r="D34" s="11">
        <v>0</v>
      </c>
      <c r="E34" s="14">
        <v>-5000</v>
      </c>
      <c r="F34" s="15">
        <v>-5000</v>
      </c>
    </row>
    <row r="35" spans="1:8" x14ac:dyDescent="0.25">
      <c r="A35" s="8">
        <v>4115</v>
      </c>
      <c r="B35" s="8" t="s">
        <v>37</v>
      </c>
      <c r="C35" s="11">
        <v>-4950</v>
      </c>
      <c r="D35" s="11">
        <v>-20000</v>
      </c>
      <c r="E35" s="14">
        <v>-10000</v>
      </c>
      <c r="F35" s="15">
        <v>-15000</v>
      </c>
    </row>
    <row r="36" spans="1:8" x14ac:dyDescent="0.25">
      <c r="A36" s="8">
        <v>4116</v>
      </c>
      <c r="B36" s="8" t="s">
        <v>38</v>
      </c>
      <c r="C36" s="11">
        <v>-2475</v>
      </c>
      <c r="D36" s="11">
        <v>0</v>
      </c>
      <c r="E36" s="14">
        <v>-3000</v>
      </c>
      <c r="F36" s="15">
        <v>-5000</v>
      </c>
    </row>
    <row r="37" spans="1:8" x14ac:dyDescent="0.25">
      <c r="A37" s="8">
        <v>4121</v>
      </c>
      <c r="B37" s="8" t="s">
        <v>39</v>
      </c>
      <c r="C37" s="11">
        <v>-62865.67</v>
      </c>
      <c r="D37" s="11">
        <v>-93000</v>
      </c>
      <c r="E37" s="14">
        <v>-95000</v>
      </c>
      <c r="F37" s="15">
        <v>-95000</v>
      </c>
      <c r="H37">
        <f>(7461*1.05)*12</f>
        <v>94008.6</v>
      </c>
    </row>
    <row r="38" spans="1:8" x14ac:dyDescent="0.25">
      <c r="A38" s="8">
        <v>4123</v>
      </c>
      <c r="B38" s="8" t="s">
        <v>40</v>
      </c>
      <c r="C38" s="11">
        <v>0</v>
      </c>
      <c r="D38" s="11">
        <v>-18000</v>
      </c>
      <c r="E38" s="14">
        <v>0</v>
      </c>
      <c r="F38" s="15">
        <v>-18000</v>
      </c>
    </row>
    <row r="39" spans="1:8" x14ac:dyDescent="0.25">
      <c r="A39" s="8">
        <v>4124</v>
      </c>
      <c r="B39" s="8" t="s">
        <v>41</v>
      </c>
      <c r="C39" s="11">
        <v>0</v>
      </c>
      <c r="D39" s="11">
        <v>0</v>
      </c>
      <c r="E39" s="14">
        <v>0</v>
      </c>
      <c r="F39" s="15">
        <v>0</v>
      </c>
    </row>
    <row r="40" spans="1:8" x14ac:dyDescent="0.25">
      <c r="A40" s="8">
        <v>4142</v>
      </c>
      <c r="B40" s="8" t="s">
        <v>42</v>
      </c>
      <c r="C40" s="11">
        <v>-4725</v>
      </c>
      <c r="D40" s="11">
        <v>0</v>
      </c>
      <c r="E40" s="25">
        <v>-5000</v>
      </c>
      <c r="F40" s="26">
        <v>-5000</v>
      </c>
    </row>
    <row r="41" spans="1:8" x14ac:dyDescent="0.25">
      <c r="A41" s="8">
        <v>4144</v>
      </c>
      <c r="B41" s="8" t="s">
        <v>43</v>
      </c>
      <c r="C41" s="11">
        <v>-870</v>
      </c>
      <c r="D41" s="11">
        <v>-2000</v>
      </c>
      <c r="E41" s="14">
        <v>-1000</v>
      </c>
      <c r="F41" s="15">
        <v>-2000</v>
      </c>
    </row>
    <row r="42" spans="1:8" x14ac:dyDescent="0.25">
      <c r="A42" s="8">
        <v>4151</v>
      </c>
      <c r="B42" s="8" t="s">
        <v>44</v>
      </c>
      <c r="C42" s="11">
        <v>0</v>
      </c>
      <c r="D42" s="11">
        <v>-8000</v>
      </c>
      <c r="E42" s="14">
        <v>0</v>
      </c>
      <c r="F42" s="15">
        <v>-5000</v>
      </c>
    </row>
    <row r="43" spans="1:8" x14ac:dyDescent="0.25">
      <c r="A43" s="8">
        <v>4160</v>
      </c>
      <c r="B43" s="8" t="s">
        <v>45</v>
      </c>
      <c r="C43" s="11">
        <v>-9375</v>
      </c>
      <c r="D43" s="11">
        <v>-7000</v>
      </c>
      <c r="E43" s="14">
        <v>-15000</v>
      </c>
      <c r="F43" s="15">
        <v>-15000</v>
      </c>
    </row>
    <row r="44" spans="1:8" x14ac:dyDescent="0.25">
      <c r="A44" s="8">
        <v>4161</v>
      </c>
      <c r="B44" s="8" t="s">
        <v>46</v>
      </c>
      <c r="C44" s="11">
        <v>-2495.34</v>
      </c>
      <c r="D44" s="11">
        <v>0</v>
      </c>
      <c r="E44" s="14">
        <v>-5000</v>
      </c>
      <c r="F44" s="15">
        <v>-5000</v>
      </c>
      <c r="G44" s="3" t="s">
        <v>47</v>
      </c>
    </row>
    <row r="45" spans="1:8" x14ac:dyDescent="0.25">
      <c r="A45" s="8">
        <v>4199</v>
      </c>
      <c r="B45" s="8" t="s">
        <v>48</v>
      </c>
      <c r="C45" s="11">
        <v>-5981</v>
      </c>
      <c r="D45" s="11">
        <v>0</v>
      </c>
      <c r="E45" s="14">
        <v>-6000</v>
      </c>
      <c r="F45" s="15">
        <v>-5000</v>
      </c>
    </row>
    <row r="46" spans="1:8" x14ac:dyDescent="0.25">
      <c r="A46" s="8">
        <v>4611</v>
      </c>
      <c r="B46" s="8" t="s">
        <v>49</v>
      </c>
      <c r="C46" s="11">
        <v>-125538</v>
      </c>
      <c r="D46" s="11">
        <v>-225000</v>
      </c>
      <c r="E46" s="14">
        <v>-175000</v>
      </c>
      <c r="F46" s="27">
        <v>-175000</v>
      </c>
    </row>
    <row r="47" spans="1:8" x14ac:dyDescent="0.25">
      <c r="A47" s="8">
        <v>4623</v>
      </c>
      <c r="B47" s="8" t="s">
        <v>50</v>
      </c>
      <c r="C47" s="11">
        <v>-524469</v>
      </c>
      <c r="D47" s="11">
        <v>-817000</v>
      </c>
      <c r="E47" s="14">
        <v>-700000</v>
      </c>
      <c r="F47" s="27">
        <f>E47*1.062</f>
        <v>-743400</v>
      </c>
      <c r="G47" s="3" t="s">
        <v>51</v>
      </c>
    </row>
    <row r="48" spans="1:8" s="2" customFormat="1" x14ac:dyDescent="0.25">
      <c r="A48" s="8">
        <v>4630</v>
      </c>
      <c r="B48" s="8" t="s">
        <v>52</v>
      </c>
      <c r="C48" s="11">
        <v>-97701</v>
      </c>
      <c r="D48" s="11">
        <v>-203000</v>
      </c>
      <c r="E48" s="14">
        <v>-200000</v>
      </c>
      <c r="F48" s="21">
        <f>E48*1.14</f>
        <v>-227999.99999999997</v>
      </c>
      <c r="G48" s="19" t="s">
        <v>53</v>
      </c>
    </row>
    <row r="49" spans="1:7" x14ac:dyDescent="0.25">
      <c r="A49" s="8">
        <v>4640</v>
      </c>
      <c r="B49" s="8" t="s">
        <v>54</v>
      </c>
      <c r="C49" s="11">
        <v>-59330</v>
      </c>
      <c r="D49" s="11">
        <v>-100000</v>
      </c>
      <c r="E49" s="14">
        <v>-100000</v>
      </c>
      <c r="F49" s="15">
        <f>E49*1.1</f>
        <v>-110000.00000000001</v>
      </c>
      <c r="G49" s="3" t="s">
        <v>55</v>
      </c>
    </row>
    <row r="50" spans="1:7" x14ac:dyDescent="0.25">
      <c r="A50" s="8">
        <v>4641</v>
      </c>
      <c r="B50" s="8" t="s">
        <v>56</v>
      </c>
      <c r="C50" s="11">
        <v>0</v>
      </c>
      <c r="D50" s="11">
        <v>0</v>
      </c>
      <c r="E50" s="14">
        <v>0</v>
      </c>
      <c r="F50" s="15">
        <v>0</v>
      </c>
    </row>
    <row r="51" spans="1:7" x14ac:dyDescent="0.25">
      <c r="A51" s="8">
        <v>4760</v>
      </c>
      <c r="B51" s="8" t="s">
        <v>57</v>
      </c>
      <c r="C51" s="11">
        <v>0</v>
      </c>
      <c r="D51" s="11">
        <v>0</v>
      </c>
      <c r="E51" s="14">
        <v>0</v>
      </c>
      <c r="F51" s="15">
        <v>0</v>
      </c>
    </row>
    <row r="52" spans="1:7" x14ac:dyDescent="0.25">
      <c r="A52" s="8">
        <v>4761</v>
      </c>
      <c r="B52" s="8" t="s">
        <v>58</v>
      </c>
      <c r="C52" s="11">
        <v>-68760</v>
      </c>
      <c r="D52" s="11">
        <v>-102000</v>
      </c>
      <c r="E52" s="14">
        <v>-110000</v>
      </c>
      <c r="F52" s="15">
        <f>E52*1.05</f>
        <v>-115500</v>
      </c>
      <c r="G52" s="3" t="s">
        <v>59</v>
      </c>
    </row>
    <row r="53" spans="1:7" x14ac:dyDescent="0.25">
      <c r="A53" s="8"/>
      <c r="B53" s="9" t="s">
        <v>60</v>
      </c>
      <c r="C53" s="17">
        <f>SUM(C31:C52)</f>
        <v>-1013916.48</v>
      </c>
      <c r="D53" s="17">
        <f t="shared" ref="D53:F53" si="4">SUM(D31:D52)</f>
        <v>-1664000</v>
      </c>
      <c r="E53" s="17">
        <f t="shared" si="4"/>
        <v>-1494000</v>
      </c>
      <c r="F53" s="18">
        <f t="shared" si="4"/>
        <v>-1615900</v>
      </c>
    </row>
    <row r="54" spans="1:7" x14ac:dyDescent="0.25">
      <c r="A54" s="8"/>
      <c r="B54" s="8"/>
      <c r="C54" s="8"/>
      <c r="D54" s="8"/>
      <c r="E54" s="14"/>
      <c r="F54" s="15"/>
    </row>
    <row r="55" spans="1:7" x14ac:dyDescent="0.25">
      <c r="A55" s="8">
        <v>4311</v>
      </c>
      <c r="B55" s="8" t="s">
        <v>61</v>
      </c>
      <c r="C55" s="11">
        <v>0</v>
      </c>
      <c r="D55" s="11">
        <v>0</v>
      </c>
      <c r="E55" s="14">
        <v>0</v>
      </c>
      <c r="F55" s="15">
        <v>0</v>
      </c>
    </row>
    <row r="56" spans="1:7" s="2" customFormat="1" x14ac:dyDescent="0.25">
      <c r="A56" s="8">
        <v>4331</v>
      </c>
      <c r="B56" s="8" t="s">
        <v>62</v>
      </c>
      <c r="C56" s="11">
        <v>-20775</v>
      </c>
      <c r="D56" s="11">
        <v>0</v>
      </c>
      <c r="E56" s="14">
        <v>-21000</v>
      </c>
      <c r="F56" s="21">
        <v>0</v>
      </c>
      <c r="G56" s="19"/>
    </row>
    <row r="57" spans="1:7" s="2" customFormat="1" x14ac:dyDescent="0.25">
      <c r="A57" s="8">
        <v>4334</v>
      </c>
      <c r="B57" s="8" t="s">
        <v>63</v>
      </c>
      <c r="C57" s="11">
        <v>-14666</v>
      </c>
      <c r="D57" s="11">
        <v>0</v>
      </c>
      <c r="E57" s="14">
        <v>-30000</v>
      </c>
      <c r="F57" s="21">
        <v>0</v>
      </c>
      <c r="G57" s="19"/>
    </row>
    <row r="58" spans="1:7" s="2" customFormat="1" x14ac:dyDescent="0.25">
      <c r="A58" s="8">
        <v>4335</v>
      </c>
      <c r="B58" s="8" t="s">
        <v>64</v>
      </c>
      <c r="C58" s="11">
        <v>-34184</v>
      </c>
      <c r="D58" s="11">
        <v>-5000</v>
      </c>
      <c r="E58" s="14">
        <v>-35000</v>
      </c>
      <c r="F58" s="21">
        <v>0</v>
      </c>
      <c r="G58" s="19"/>
    </row>
    <row r="59" spans="1:7" s="2" customFormat="1" x14ac:dyDescent="0.25">
      <c r="A59" s="8">
        <v>4338</v>
      </c>
      <c r="B59" s="8" t="s">
        <v>65</v>
      </c>
      <c r="C59" s="11">
        <v>-3262</v>
      </c>
      <c r="D59" s="11">
        <v>0</v>
      </c>
      <c r="E59" s="14">
        <v>-4000</v>
      </c>
      <c r="F59" s="21">
        <v>0</v>
      </c>
      <c r="G59" s="19"/>
    </row>
    <row r="60" spans="1:7" s="2" customFormat="1" x14ac:dyDescent="0.25">
      <c r="A60" s="8">
        <v>4341</v>
      </c>
      <c r="B60" s="8" t="s">
        <v>66</v>
      </c>
      <c r="C60" s="11">
        <v>0</v>
      </c>
      <c r="D60" s="11">
        <v>0</v>
      </c>
      <c r="E60" s="14">
        <v>0</v>
      </c>
      <c r="F60" s="21">
        <v>0</v>
      </c>
      <c r="G60" s="19"/>
    </row>
    <row r="61" spans="1:7" x14ac:dyDescent="0.25">
      <c r="A61" s="8">
        <v>4342</v>
      </c>
      <c r="B61" s="8" t="s">
        <v>67</v>
      </c>
      <c r="C61" s="11">
        <v>-45490</v>
      </c>
      <c r="D61" s="11">
        <v>0</v>
      </c>
      <c r="E61" s="14">
        <v>-50000</v>
      </c>
      <c r="F61" s="15">
        <v>0</v>
      </c>
    </row>
    <row r="62" spans="1:7" x14ac:dyDescent="0.25">
      <c r="A62" s="8">
        <v>4343</v>
      </c>
      <c r="B62" s="8" t="s">
        <v>68</v>
      </c>
      <c r="C62" s="11">
        <v>-17625</v>
      </c>
      <c r="D62" s="11">
        <v>0</v>
      </c>
      <c r="E62" s="14">
        <v>-20000</v>
      </c>
      <c r="F62" s="15">
        <v>0</v>
      </c>
    </row>
    <row r="63" spans="1:7" x14ac:dyDescent="0.25">
      <c r="A63" s="8">
        <v>4344</v>
      </c>
      <c r="B63" s="8" t="s">
        <v>69</v>
      </c>
      <c r="C63" s="11">
        <v>-1834</v>
      </c>
      <c r="D63" s="11">
        <v>0</v>
      </c>
      <c r="E63" s="14">
        <v>-2000</v>
      </c>
      <c r="F63" s="15">
        <v>0</v>
      </c>
    </row>
    <row r="64" spans="1:7" x14ac:dyDescent="0.25">
      <c r="A64" s="8">
        <v>4346</v>
      </c>
      <c r="B64" s="8" t="s">
        <v>70</v>
      </c>
      <c r="C64" s="11">
        <v>-20631</v>
      </c>
      <c r="D64" s="11">
        <v>-5000</v>
      </c>
      <c r="E64" s="14">
        <v>-22000</v>
      </c>
      <c r="F64" s="15">
        <v>-22000</v>
      </c>
    </row>
    <row r="65" spans="1:7" x14ac:dyDescent="0.25">
      <c r="A65" s="8">
        <v>4347</v>
      </c>
      <c r="B65" s="8" t="s">
        <v>71</v>
      </c>
      <c r="C65" s="11">
        <v>0</v>
      </c>
      <c r="D65" s="11">
        <v>0</v>
      </c>
      <c r="E65" s="14">
        <v>0</v>
      </c>
      <c r="F65" s="15">
        <v>0</v>
      </c>
    </row>
    <row r="66" spans="1:7" s="2" customFormat="1" x14ac:dyDescent="0.25">
      <c r="A66" s="8">
        <v>4351</v>
      </c>
      <c r="B66" s="8" t="s">
        <v>72</v>
      </c>
      <c r="C66" s="11">
        <v>-4107</v>
      </c>
      <c r="D66" s="11">
        <v>0</v>
      </c>
      <c r="E66" s="14">
        <v>-4000</v>
      </c>
      <c r="F66" s="21">
        <v>0</v>
      </c>
      <c r="G66" s="19"/>
    </row>
    <row r="67" spans="1:7" s="2" customFormat="1" x14ac:dyDescent="0.25">
      <c r="A67" s="8">
        <v>4353</v>
      </c>
      <c r="B67" s="8" t="s">
        <v>73</v>
      </c>
      <c r="C67" s="11">
        <v>0</v>
      </c>
      <c r="D67" s="11">
        <v>-300000</v>
      </c>
      <c r="E67" s="14">
        <v>0</v>
      </c>
      <c r="F67" s="21">
        <v>0</v>
      </c>
      <c r="G67" s="19"/>
    </row>
    <row r="68" spans="1:7" s="2" customFormat="1" x14ac:dyDescent="0.25">
      <c r="A68" s="8">
        <v>4390</v>
      </c>
      <c r="B68" s="8" t="s">
        <v>74</v>
      </c>
      <c r="C68" s="11">
        <v>-47004</v>
      </c>
      <c r="D68" s="11">
        <v>0</v>
      </c>
      <c r="E68" s="25">
        <v>-50000</v>
      </c>
      <c r="F68" s="21">
        <v>0</v>
      </c>
      <c r="G68" s="19"/>
    </row>
    <row r="69" spans="1:7" s="2" customFormat="1" x14ac:dyDescent="0.25">
      <c r="A69" s="8">
        <v>4399</v>
      </c>
      <c r="B69" s="8" t="s">
        <v>75</v>
      </c>
      <c r="C69" s="11">
        <v>0</v>
      </c>
      <c r="D69" s="11">
        <v>-200000</v>
      </c>
      <c r="E69" s="14">
        <v>0</v>
      </c>
      <c r="F69" s="21">
        <v>-250000</v>
      </c>
      <c r="G69" s="19" t="s">
        <v>76</v>
      </c>
    </row>
    <row r="70" spans="1:7" x14ac:dyDescent="0.25">
      <c r="A70" s="8">
        <v>4511</v>
      </c>
      <c r="B70" s="8" t="s">
        <v>77</v>
      </c>
      <c r="C70" s="11">
        <v>-15750</v>
      </c>
      <c r="D70" s="11">
        <v>0</v>
      </c>
      <c r="E70" s="14">
        <v>-16000</v>
      </c>
      <c r="F70" s="15">
        <v>0</v>
      </c>
    </row>
    <row r="71" spans="1:7" x14ac:dyDescent="0.25">
      <c r="A71" s="8">
        <v>4542</v>
      </c>
      <c r="B71" s="8" t="s">
        <v>78</v>
      </c>
      <c r="C71" s="11">
        <v>0</v>
      </c>
      <c r="D71" s="11">
        <v>0</v>
      </c>
      <c r="E71" s="14">
        <v>0</v>
      </c>
      <c r="F71" s="15">
        <v>0</v>
      </c>
    </row>
    <row r="72" spans="1:7" s="2" customFormat="1" x14ac:dyDescent="0.25">
      <c r="A72" s="8">
        <v>4543</v>
      </c>
      <c r="B72" s="8" t="s">
        <v>79</v>
      </c>
      <c r="C72" s="11">
        <v>0</v>
      </c>
      <c r="D72" s="11">
        <v>0</v>
      </c>
      <c r="E72" s="14">
        <v>0</v>
      </c>
      <c r="F72" s="21">
        <v>0</v>
      </c>
      <c r="G72" s="19"/>
    </row>
    <row r="73" spans="1:7" s="2" customFormat="1" x14ac:dyDescent="0.25">
      <c r="A73" s="8">
        <v>4551</v>
      </c>
      <c r="B73" s="8" t="s">
        <v>80</v>
      </c>
      <c r="C73" s="11">
        <v>0</v>
      </c>
      <c r="D73" s="11">
        <v>0</v>
      </c>
      <c r="E73" s="14">
        <v>-30000</v>
      </c>
      <c r="F73" s="21">
        <v>0</v>
      </c>
      <c r="G73" s="19"/>
    </row>
    <row r="74" spans="1:7" s="2" customFormat="1" x14ac:dyDescent="0.25">
      <c r="A74" s="8">
        <v>4553</v>
      </c>
      <c r="B74" s="8" t="s">
        <v>81</v>
      </c>
      <c r="C74" s="11">
        <v>-236250</v>
      </c>
      <c r="D74" s="11">
        <v>0</v>
      </c>
      <c r="E74" s="14">
        <v>-240000</v>
      </c>
      <c r="F74" s="21">
        <v>0</v>
      </c>
      <c r="G74" s="19"/>
    </row>
    <row r="75" spans="1:7" s="2" customFormat="1" x14ac:dyDescent="0.25">
      <c r="A75" s="8">
        <v>4599</v>
      </c>
      <c r="B75" s="8" t="s">
        <v>82</v>
      </c>
      <c r="C75" s="11">
        <v>0</v>
      </c>
      <c r="D75" s="11">
        <v>0</v>
      </c>
      <c r="E75" s="14">
        <v>0</v>
      </c>
      <c r="F75" s="21">
        <v>-210000</v>
      </c>
      <c r="G75" s="19" t="s">
        <v>83</v>
      </c>
    </row>
    <row r="76" spans="1:7" x14ac:dyDescent="0.25">
      <c r="A76" s="8"/>
      <c r="B76" s="9" t="s">
        <v>84</v>
      </c>
      <c r="C76" s="17">
        <f>SUM(C55:C75)</f>
        <v>-461578</v>
      </c>
      <c r="D76" s="17">
        <f>SUM(D55:D75)</f>
        <v>-510000</v>
      </c>
      <c r="E76" s="17">
        <f>SUM(E55:E75)</f>
        <v>-524000</v>
      </c>
      <c r="F76" s="18">
        <f>SUM(F55:F75)</f>
        <v>-482000</v>
      </c>
    </row>
    <row r="77" spans="1:7" x14ac:dyDescent="0.25">
      <c r="A77" s="8"/>
      <c r="B77" s="8"/>
      <c r="C77" s="8"/>
      <c r="D77" s="8"/>
      <c r="E77" s="14"/>
      <c r="F77" s="15"/>
    </row>
    <row r="78" spans="1:7" x14ac:dyDescent="0.25">
      <c r="A78" s="8">
        <v>4711</v>
      </c>
      <c r="B78" s="8" t="s">
        <v>85</v>
      </c>
      <c r="C78" s="11">
        <v>-69367.66</v>
      </c>
      <c r="D78" s="11">
        <v>-111000</v>
      </c>
      <c r="E78" s="14">
        <v>-104000</v>
      </c>
      <c r="F78" s="15">
        <f>E78*1.1</f>
        <v>-114400.00000000001</v>
      </c>
      <c r="G78" s="3" t="s">
        <v>55</v>
      </c>
    </row>
    <row r="79" spans="1:7" x14ac:dyDescent="0.25">
      <c r="A79" s="8">
        <v>4752</v>
      </c>
      <c r="B79" s="8" t="s">
        <v>86</v>
      </c>
      <c r="C79" s="11">
        <v>0</v>
      </c>
      <c r="D79" s="11">
        <v>0</v>
      </c>
      <c r="E79" s="14">
        <v>0</v>
      </c>
      <c r="F79" s="15">
        <v>0</v>
      </c>
    </row>
    <row r="80" spans="1:7" x14ac:dyDescent="0.25">
      <c r="A80" s="8">
        <v>4771</v>
      </c>
      <c r="B80" s="8" t="s">
        <v>87</v>
      </c>
      <c r="C80" s="11">
        <v>-17988.25</v>
      </c>
      <c r="D80" s="11">
        <v>-25000</v>
      </c>
      <c r="E80" s="14">
        <v>-20000</v>
      </c>
      <c r="F80" s="15">
        <v>-20000</v>
      </c>
    </row>
    <row r="81" spans="1:7" x14ac:dyDescent="0.25">
      <c r="A81" s="8">
        <v>4772</v>
      </c>
      <c r="B81" s="8" t="s">
        <v>88</v>
      </c>
      <c r="C81" s="11">
        <v>-5748.75</v>
      </c>
      <c r="D81" s="11">
        <v>-20000</v>
      </c>
      <c r="E81" s="14">
        <v>-7000</v>
      </c>
      <c r="F81" s="15">
        <v>-20000</v>
      </c>
    </row>
    <row r="82" spans="1:7" x14ac:dyDescent="0.25">
      <c r="A82" s="8">
        <v>4781</v>
      </c>
      <c r="B82" s="8" t="s">
        <v>89</v>
      </c>
      <c r="C82" s="11">
        <v>-43596.5</v>
      </c>
      <c r="D82" s="11">
        <v>-75000</v>
      </c>
      <c r="E82" s="14">
        <v>-69000</v>
      </c>
      <c r="F82" s="15">
        <f>E82*1.05</f>
        <v>-72450</v>
      </c>
      <c r="G82" s="3" t="s">
        <v>90</v>
      </c>
    </row>
    <row r="83" spans="1:7" x14ac:dyDescent="0.25">
      <c r="A83" s="8">
        <v>4782</v>
      </c>
      <c r="B83" s="8" t="s">
        <v>91</v>
      </c>
      <c r="C83" s="11">
        <v>-12218</v>
      </c>
      <c r="D83" s="11">
        <v>-30000</v>
      </c>
      <c r="E83" s="14">
        <v>-15000</v>
      </c>
      <c r="F83" s="15">
        <v>-15000</v>
      </c>
    </row>
    <row r="84" spans="1:7" x14ac:dyDescent="0.25">
      <c r="A84" s="8">
        <v>4787</v>
      </c>
      <c r="B84" s="8" t="s">
        <v>92</v>
      </c>
      <c r="C84" s="11">
        <v>-6415.5</v>
      </c>
      <c r="D84" s="11">
        <v>-11000</v>
      </c>
      <c r="E84" s="14">
        <v>-11000</v>
      </c>
      <c r="F84" s="15">
        <f>E84*1.05</f>
        <v>-11550</v>
      </c>
      <c r="G84" s="3" t="s">
        <v>90</v>
      </c>
    </row>
    <row r="85" spans="1:7" x14ac:dyDescent="0.25">
      <c r="A85" s="8">
        <v>4811</v>
      </c>
      <c r="B85" s="8" t="s">
        <v>93</v>
      </c>
      <c r="C85" s="11">
        <v>-720</v>
      </c>
      <c r="D85" s="11">
        <v>-1000</v>
      </c>
      <c r="E85" s="14">
        <v>-1000</v>
      </c>
      <c r="F85" s="15">
        <v>0</v>
      </c>
    </row>
    <row r="86" spans="1:7" x14ac:dyDescent="0.25">
      <c r="A86" s="8">
        <v>4812</v>
      </c>
      <c r="B86" s="8" t="s">
        <v>94</v>
      </c>
      <c r="C86" s="11">
        <v>-102144</v>
      </c>
      <c r="D86" s="11">
        <v>-157000</v>
      </c>
      <c r="E86" s="20">
        <v>-153216</v>
      </c>
      <c r="F86" s="15">
        <f>E86*1.05</f>
        <v>-160876.80000000002</v>
      </c>
      <c r="G86" s="3" t="s">
        <v>59</v>
      </c>
    </row>
    <row r="87" spans="1:7" x14ac:dyDescent="0.25">
      <c r="A87" s="8">
        <v>4813</v>
      </c>
      <c r="B87" s="8" t="s">
        <v>95</v>
      </c>
      <c r="C87" s="11">
        <v>0</v>
      </c>
      <c r="D87" s="11">
        <v>0</v>
      </c>
      <c r="E87" s="20">
        <v>0</v>
      </c>
      <c r="F87" s="15">
        <v>0</v>
      </c>
    </row>
    <row r="88" spans="1:7" x14ac:dyDescent="0.25">
      <c r="A88" s="8"/>
      <c r="B88" s="9" t="s">
        <v>96</v>
      </c>
      <c r="C88" s="17">
        <f>SUM(C78:C87)</f>
        <v>-258198.66</v>
      </c>
      <c r="D88" s="17">
        <f t="shared" ref="D88:F88" si="5">SUM(D78:D87)</f>
        <v>-430000</v>
      </c>
      <c r="E88" s="17">
        <f t="shared" si="5"/>
        <v>-380216</v>
      </c>
      <c r="F88" s="18">
        <f t="shared" si="5"/>
        <v>-414276.80000000005</v>
      </c>
    </row>
    <row r="89" spans="1:7" x14ac:dyDescent="0.25">
      <c r="A89" s="8"/>
      <c r="B89" s="8"/>
      <c r="C89" s="9"/>
      <c r="D89" s="9"/>
      <c r="E89" s="20"/>
      <c r="F89" s="21"/>
    </row>
    <row r="90" spans="1:7" x14ac:dyDescent="0.25">
      <c r="A90" s="8"/>
      <c r="B90" s="9" t="s">
        <v>97</v>
      </c>
      <c r="C90" s="17">
        <f>C53+C76+C88</f>
        <v>-1733693.14</v>
      </c>
      <c r="D90" s="17">
        <f t="shared" ref="D90:F90" si="6">D53+D76+D88</f>
        <v>-2604000</v>
      </c>
      <c r="E90" s="17">
        <f t="shared" si="6"/>
        <v>-2398216</v>
      </c>
      <c r="F90" s="18">
        <f t="shared" si="6"/>
        <v>-2512176.7999999998</v>
      </c>
    </row>
    <row r="91" spans="1:7" x14ac:dyDescent="0.25">
      <c r="A91" s="8"/>
      <c r="B91" s="8"/>
      <c r="C91" s="9"/>
      <c r="D91" s="9"/>
      <c r="E91" s="20"/>
      <c r="F91" s="21"/>
    </row>
    <row r="92" spans="1:7" x14ac:dyDescent="0.25">
      <c r="A92" s="8"/>
      <c r="B92" s="28" t="s">
        <v>98</v>
      </c>
      <c r="C92" s="17">
        <f>C28+C90</f>
        <v>219317.43000000017</v>
      </c>
      <c r="D92" s="17">
        <f t="shared" ref="D92:F92" si="7">D28+D90</f>
        <v>343000</v>
      </c>
      <c r="E92" s="17">
        <f t="shared" si="7"/>
        <v>526289</v>
      </c>
      <c r="F92" s="18">
        <f t="shared" si="7"/>
        <v>461823.20000000019</v>
      </c>
    </row>
    <row r="93" spans="1:7" x14ac:dyDescent="0.25">
      <c r="A93" s="8"/>
      <c r="B93" s="8"/>
      <c r="C93" s="8"/>
      <c r="D93" s="8"/>
      <c r="E93" s="14"/>
      <c r="F93" s="15"/>
    </row>
    <row r="94" spans="1:7" x14ac:dyDescent="0.25">
      <c r="A94" s="8">
        <v>6061</v>
      </c>
      <c r="B94" s="8" t="s">
        <v>99</v>
      </c>
      <c r="C94" s="11">
        <v>-565</v>
      </c>
      <c r="D94" s="11">
        <v>-1000</v>
      </c>
      <c r="E94" s="14">
        <v>-1000</v>
      </c>
      <c r="F94" s="15">
        <v>-1000</v>
      </c>
    </row>
    <row r="95" spans="1:7" x14ac:dyDescent="0.25">
      <c r="A95" s="8">
        <v>6210</v>
      </c>
      <c r="B95" s="8" t="s">
        <v>100</v>
      </c>
      <c r="C95" s="11">
        <v>-5018.0599999999995</v>
      </c>
      <c r="D95" s="11">
        <v>-12000</v>
      </c>
      <c r="E95" s="14">
        <v>-8000</v>
      </c>
      <c r="F95" s="15">
        <v>-10000</v>
      </c>
    </row>
    <row r="96" spans="1:7" x14ac:dyDescent="0.25">
      <c r="A96" s="8">
        <v>6411</v>
      </c>
      <c r="B96" s="8" t="s">
        <v>101</v>
      </c>
      <c r="C96" s="11">
        <v>-85950</v>
      </c>
      <c r="D96" s="11">
        <v>-79000</v>
      </c>
      <c r="E96" s="14">
        <v>-86000</v>
      </c>
      <c r="F96" s="15">
        <v>-88000</v>
      </c>
      <c r="G96" s="3" t="s">
        <v>102</v>
      </c>
    </row>
    <row r="97" spans="1:7" x14ac:dyDescent="0.25">
      <c r="A97" s="8">
        <v>6419</v>
      </c>
      <c r="B97" s="8" t="s">
        <v>103</v>
      </c>
      <c r="C97" s="11">
        <v>-27005</v>
      </c>
      <c r="D97" s="11">
        <v>-25000</v>
      </c>
      <c r="E97" s="14">
        <v>-27000</v>
      </c>
      <c r="F97" s="15">
        <v>-29000</v>
      </c>
    </row>
    <row r="98" spans="1:7" x14ac:dyDescent="0.25">
      <c r="A98" s="8">
        <v>6420</v>
      </c>
      <c r="B98" s="8" t="s">
        <v>104</v>
      </c>
      <c r="C98" s="11">
        <v>-24250</v>
      </c>
      <c r="D98" s="11">
        <v>-23000</v>
      </c>
      <c r="E98" s="14">
        <v>-24000</v>
      </c>
      <c r="F98" s="15">
        <v>-25000</v>
      </c>
    </row>
    <row r="99" spans="1:7" x14ac:dyDescent="0.25">
      <c r="A99" s="8">
        <v>6450</v>
      </c>
      <c r="B99" s="8" t="s">
        <v>105</v>
      </c>
      <c r="C99" s="11">
        <v>-24221.29</v>
      </c>
      <c r="D99" s="11">
        <v>-7000</v>
      </c>
      <c r="E99" s="14">
        <v>-25000</v>
      </c>
      <c r="F99" s="15">
        <v>-20000</v>
      </c>
      <c r="G99" s="3" t="s">
        <v>106</v>
      </c>
    </row>
    <row r="100" spans="1:7" x14ac:dyDescent="0.25">
      <c r="A100" s="8">
        <v>6570</v>
      </c>
      <c r="B100" s="8" t="s">
        <v>107</v>
      </c>
      <c r="C100" s="11">
        <v>-4733.3999999999996</v>
      </c>
      <c r="D100" s="11">
        <v>-5000</v>
      </c>
      <c r="E100" s="14">
        <v>-5000</v>
      </c>
      <c r="F100" s="15">
        <v>-6000</v>
      </c>
    </row>
    <row r="101" spans="1:7" x14ac:dyDescent="0.25">
      <c r="A101" s="8">
        <v>6591</v>
      </c>
      <c r="B101" s="8" t="s">
        <v>108</v>
      </c>
      <c r="C101" s="11">
        <v>0</v>
      </c>
      <c r="D101" s="11">
        <v>-1000</v>
      </c>
      <c r="E101" s="14">
        <v>0</v>
      </c>
      <c r="F101" s="15">
        <v>-1000</v>
      </c>
    </row>
    <row r="102" spans="1:7" x14ac:dyDescent="0.25">
      <c r="A102" s="8">
        <v>6980</v>
      </c>
      <c r="B102" s="8" t="s">
        <v>109</v>
      </c>
      <c r="C102" s="11">
        <v>-6056</v>
      </c>
      <c r="D102" s="11">
        <v>-9000</v>
      </c>
      <c r="E102" s="14">
        <v>-9000</v>
      </c>
      <c r="F102" s="15">
        <v>-10000</v>
      </c>
    </row>
    <row r="103" spans="1:7" x14ac:dyDescent="0.25">
      <c r="A103" s="8"/>
      <c r="B103" s="9" t="s">
        <v>110</v>
      </c>
      <c r="C103" s="17">
        <f>SUM(C94:C102)</f>
        <v>-177798.75</v>
      </c>
      <c r="D103" s="17">
        <f t="shared" ref="D103:F103" si="8">SUM(D94:D102)</f>
        <v>-162000</v>
      </c>
      <c r="E103" s="17">
        <f t="shared" si="8"/>
        <v>-185000</v>
      </c>
      <c r="F103" s="18">
        <f t="shared" si="8"/>
        <v>-190000</v>
      </c>
    </row>
    <row r="104" spans="1:7" x14ac:dyDescent="0.25">
      <c r="A104" s="8"/>
      <c r="B104" s="8"/>
      <c r="C104" s="9"/>
      <c r="D104" s="9"/>
      <c r="E104" s="20"/>
      <c r="F104" s="21"/>
    </row>
    <row r="105" spans="1:7" x14ac:dyDescent="0.25">
      <c r="A105" s="8"/>
      <c r="B105" s="28" t="s">
        <v>111</v>
      </c>
      <c r="C105" s="17">
        <f>C92+C103</f>
        <v>41518.680000000168</v>
      </c>
      <c r="D105" s="17">
        <f t="shared" ref="D105:F105" si="9">D92+D103</f>
        <v>181000</v>
      </c>
      <c r="E105" s="17">
        <f t="shared" si="9"/>
        <v>341289</v>
      </c>
      <c r="F105" s="18">
        <f t="shared" si="9"/>
        <v>271823.20000000019</v>
      </c>
    </row>
    <row r="106" spans="1:7" x14ac:dyDescent="0.25">
      <c r="A106" s="8"/>
      <c r="B106" s="9"/>
      <c r="C106" s="9"/>
      <c r="D106" s="9"/>
      <c r="E106" s="20"/>
      <c r="F106" s="21"/>
    </row>
    <row r="107" spans="1:7" x14ac:dyDescent="0.25">
      <c r="A107" s="8"/>
      <c r="B107" s="9" t="s">
        <v>112</v>
      </c>
      <c r="C107" s="8"/>
      <c r="D107" s="8"/>
      <c r="E107" s="14"/>
      <c r="F107" s="15"/>
    </row>
    <row r="108" spans="1:7" x14ac:dyDescent="0.25">
      <c r="A108" s="8">
        <v>7821</v>
      </c>
      <c r="B108" s="8" t="s">
        <v>113</v>
      </c>
      <c r="C108" s="11">
        <v>-288632</v>
      </c>
      <c r="D108" s="11">
        <v>-433000</v>
      </c>
      <c r="E108" s="14">
        <v>-433000</v>
      </c>
      <c r="F108" s="15">
        <v>-433000</v>
      </c>
    </row>
    <row r="109" spans="1:7" x14ac:dyDescent="0.25">
      <c r="A109" s="8">
        <v>7822</v>
      </c>
      <c r="B109" s="8" t="s">
        <v>114</v>
      </c>
      <c r="C109" s="11">
        <v>-143896.63999999998</v>
      </c>
      <c r="D109" s="11">
        <v>-216000</v>
      </c>
      <c r="E109" s="14">
        <v>-216000</v>
      </c>
      <c r="F109" s="15">
        <v>-216000</v>
      </c>
    </row>
    <row r="110" spans="1:7" x14ac:dyDescent="0.25">
      <c r="A110" s="8">
        <v>7832</v>
      </c>
      <c r="B110" s="8" t="s">
        <v>115</v>
      </c>
      <c r="C110" s="11">
        <v>-2925.3599999999997</v>
      </c>
      <c r="D110" s="11">
        <v>-4000</v>
      </c>
      <c r="E110" s="14">
        <v>-4000</v>
      </c>
      <c r="F110" s="15">
        <v>-4000</v>
      </c>
    </row>
    <row r="111" spans="1:7" x14ac:dyDescent="0.25">
      <c r="A111" s="8"/>
      <c r="B111" s="9" t="s">
        <v>116</v>
      </c>
      <c r="C111" s="17">
        <f>SUM(C108:C110)</f>
        <v>-435454</v>
      </c>
      <c r="D111" s="17">
        <f t="shared" ref="D111:F111" si="10">SUM(D108:D110)</f>
        <v>-653000</v>
      </c>
      <c r="E111" s="17">
        <f t="shared" si="10"/>
        <v>-653000</v>
      </c>
      <c r="F111" s="18">
        <f t="shared" si="10"/>
        <v>-653000</v>
      </c>
    </row>
    <row r="112" spans="1:7" x14ac:dyDescent="0.25">
      <c r="A112" s="8"/>
      <c r="B112" s="8"/>
      <c r="C112" s="9"/>
      <c r="D112" s="9"/>
      <c r="E112" s="20"/>
      <c r="F112" s="21"/>
    </row>
    <row r="113" spans="1:7" x14ac:dyDescent="0.25">
      <c r="A113" s="8"/>
      <c r="B113" s="28" t="s">
        <v>117</v>
      </c>
      <c r="C113" s="17">
        <f>C105+C111</f>
        <v>-393935.31999999983</v>
      </c>
      <c r="D113" s="17">
        <f t="shared" ref="D113:F113" si="11">D105+D111</f>
        <v>-472000</v>
      </c>
      <c r="E113" s="17">
        <f t="shared" si="11"/>
        <v>-311711</v>
      </c>
      <c r="F113" s="18">
        <f t="shared" si="11"/>
        <v>-381176.79999999981</v>
      </c>
    </row>
    <row r="114" spans="1:7" x14ac:dyDescent="0.25">
      <c r="A114" s="8"/>
      <c r="B114" s="8"/>
      <c r="C114" s="9"/>
      <c r="D114" s="9"/>
      <c r="E114" s="20"/>
      <c r="F114" s="21"/>
    </row>
    <row r="115" spans="1:7" x14ac:dyDescent="0.25">
      <c r="A115" s="8">
        <v>8311</v>
      </c>
      <c r="B115" s="8" t="s">
        <v>118</v>
      </c>
      <c r="C115" s="11">
        <v>22680.02</v>
      </c>
      <c r="D115" s="11">
        <v>95000</v>
      </c>
      <c r="E115" s="14">
        <v>90000</v>
      </c>
      <c r="F115" s="15">
        <v>70000</v>
      </c>
      <c r="G115" s="3" t="s">
        <v>119</v>
      </c>
    </row>
    <row r="116" spans="1:7" x14ac:dyDescent="0.25">
      <c r="A116" s="8">
        <v>8313</v>
      </c>
      <c r="B116" s="8" t="s">
        <v>120</v>
      </c>
      <c r="C116" s="11">
        <v>165.43</v>
      </c>
      <c r="D116" s="11">
        <v>0</v>
      </c>
      <c r="E116" s="14">
        <v>200</v>
      </c>
      <c r="F116" s="15">
        <v>0</v>
      </c>
    </row>
    <row r="117" spans="1:7" x14ac:dyDescent="0.25">
      <c r="A117" s="8">
        <v>8314</v>
      </c>
      <c r="B117" s="8" t="s">
        <v>121</v>
      </c>
      <c r="C117" s="11">
        <v>1008</v>
      </c>
      <c r="D117" s="11">
        <v>0</v>
      </c>
      <c r="E117" s="14">
        <v>1200</v>
      </c>
      <c r="F117" s="15">
        <v>0</v>
      </c>
    </row>
    <row r="118" spans="1:7" x14ac:dyDescent="0.25">
      <c r="A118" s="8"/>
      <c r="B118" s="9" t="s">
        <v>122</v>
      </c>
      <c r="C118" s="17">
        <f>SUM(C115:C117)</f>
        <v>23853.45</v>
      </c>
      <c r="D118" s="17">
        <f t="shared" ref="D118:F118" si="12">SUM(D115:D117)</f>
        <v>95000</v>
      </c>
      <c r="E118" s="17">
        <f t="shared" si="12"/>
        <v>91400</v>
      </c>
      <c r="F118" s="18">
        <f t="shared" si="12"/>
        <v>70000</v>
      </c>
    </row>
    <row r="119" spans="1:7" x14ac:dyDescent="0.25">
      <c r="A119" s="8"/>
      <c r="B119" s="8"/>
      <c r="C119" s="8"/>
      <c r="D119" s="8"/>
      <c r="E119" s="14"/>
      <c r="F119" s="15"/>
    </row>
    <row r="120" spans="1:7" x14ac:dyDescent="0.25">
      <c r="A120" s="8">
        <v>8422</v>
      </c>
      <c r="B120" s="8" t="s">
        <v>123</v>
      </c>
      <c r="C120" s="11">
        <v>0</v>
      </c>
      <c r="D120" s="11">
        <v>0</v>
      </c>
      <c r="E120" s="14">
        <v>0</v>
      </c>
      <c r="F120" s="15">
        <v>0</v>
      </c>
    </row>
    <row r="121" spans="1:7" x14ac:dyDescent="0.25">
      <c r="A121" s="8"/>
      <c r="B121" s="9" t="s">
        <v>124</v>
      </c>
      <c r="C121" s="17">
        <f>SUM(C120)</f>
        <v>0</v>
      </c>
      <c r="D121" s="17">
        <f t="shared" ref="D121:F121" si="13">SUM(D120)</f>
        <v>0</v>
      </c>
      <c r="E121" s="17">
        <f t="shared" si="13"/>
        <v>0</v>
      </c>
      <c r="F121" s="18">
        <f t="shared" si="13"/>
        <v>0</v>
      </c>
      <c r="G121" s="19"/>
    </row>
    <row r="122" spans="1:7" x14ac:dyDescent="0.25">
      <c r="A122" s="8"/>
      <c r="B122" s="8"/>
      <c r="C122" s="9"/>
      <c r="D122" s="9"/>
      <c r="E122" s="20"/>
      <c r="F122" s="21"/>
      <c r="G122" s="19"/>
    </row>
    <row r="123" spans="1:7" x14ac:dyDescent="0.25">
      <c r="A123" s="8"/>
      <c r="B123" s="9" t="s">
        <v>125</v>
      </c>
      <c r="C123" s="17">
        <f>C118+C121</f>
        <v>23853.45</v>
      </c>
      <c r="D123" s="17">
        <f t="shared" ref="D123:F123" si="14">D118+D121</f>
        <v>95000</v>
      </c>
      <c r="E123" s="17">
        <f t="shared" si="14"/>
        <v>91400</v>
      </c>
      <c r="F123" s="18">
        <f t="shared" si="14"/>
        <v>70000</v>
      </c>
      <c r="G123" s="19"/>
    </row>
    <row r="124" spans="1:7" x14ac:dyDescent="0.25">
      <c r="A124" s="8"/>
      <c r="B124" s="8"/>
      <c r="C124" s="9"/>
      <c r="D124" s="9"/>
      <c r="E124" s="20"/>
      <c r="F124" s="21"/>
      <c r="G124" s="19"/>
    </row>
    <row r="125" spans="1:7" x14ac:dyDescent="0.25">
      <c r="A125" s="8"/>
      <c r="B125" s="28" t="s">
        <v>126</v>
      </c>
      <c r="C125" s="17">
        <f>C113+C123</f>
        <v>-370081.86999999982</v>
      </c>
      <c r="D125" s="17">
        <f t="shared" ref="D125:F125" si="15">D113+D123</f>
        <v>-377000</v>
      </c>
      <c r="E125" s="17">
        <f t="shared" si="15"/>
        <v>-220311</v>
      </c>
      <c r="F125" s="18">
        <f t="shared" si="15"/>
        <v>-311176.79999999981</v>
      </c>
      <c r="G125" s="19"/>
    </row>
    <row r="126" spans="1:7" x14ac:dyDescent="0.25">
      <c r="A126" s="8"/>
      <c r="B126" s="28"/>
      <c r="C126" s="20"/>
      <c r="D126" s="20"/>
      <c r="E126" s="20"/>
      <c r="F126" s="21"/>
      <c r="G126" s="19"/>
    </row>
    <row r="127" spans="1:7" x14ac:dyDescent="0.25">
      <c r="A127" s="8"/>
      <c r="B127" s="28"/>
      <c r="C127" s="14"/>
      <c r="D127" s="14"/>
      <c r="E127" s="14"/>
      <c r="F127" s="29"/>
    </row>
    <row r="128" spans="1:7" x14ac:dyDescent="0.25">
      <c r="A128" s="8"/>
      <c r="B128" s="28"/>
      <c r="C128" s="14"/>
      <c r="D128" s="14"/>
      <c r="E128" s="14"/>
      <c r="F128" s="15"/>
    </row>
    <row r="129" spans="1:6" x14ac:dyDescent="0.25">
      <c r="A129" s="8"/>
      <c r="B129" s="28"/>
      <c r="C129" s="14"/>
      <c r="D129" s="14"/>
      <c r="E129" s="14"/>
      <c r="F129" s="15"/>
    </row>
    <row r="130" spans="1:6" x14ac:dyDescent="0.25">
      <c r="A130" s="8"/>
      <c r="B130" s="28"/>
      <c r="C130" s="20"/>
      <c r="D130" s="20"/>
      <c r="E130" s="20"/>
      <c r="F130" s="21"/>
    </row>
    <row r="131" spans="1:6" ht="15.75" thickBot="1" x14ac:dyDescent="0.3">
      <c r="A131" s="8"/>
      <c r="B131" s="28"/>
      <c r="C131" s="20"/>
      <c r="D131" s="20"/>
      <c r="E131" s="20"/>
      <c r="F131" s="21"/>
    </row>
    <row r="132" spans="1:6" ht="18.75" x14ac:dyDescent="0.3">
      <c r="A132" s="30" t="s">
        <v>127</v>
      </c>
      <c r="B132" s="31"/>
      <c r="C132" s="31"/>
      <c r="D132" s="31"/>
      <c r="E132" s="32">
        <v>2024</v>
      </c>
      <c r="F132" s="33">
        <v>2025</v>
      </c>
    </row>
    <row r="133" spans="1:6" x14ac:dyDescent="0.25">
      <c r="A133" s="34"/>
      <c r="B133" s="12"/>
      <c r="C133" s="12"/>
      <c r="D133" s="12"/>
      <c r="E133" s="22"/>
      <c r="F133" s="35"/>
    </row>
    <row r="134" spans="1:6" x14ac:dyDescent="0.25">
      <c r="A134" s="36" t="s">
        <v>128</v>
      </c>
      <c r="B134" s="12"/>
      <c r="C134" s="12"/>
      <c r="D134" s="12"/>
      <c r="E134" s="22"/>
      <c r="F134" s="37"/>
    </row>
    <row r="135" spans="1:6" x14ac:dyDescent="0.25">
      <c r="A135" s="34"/>
      <c r="B135" s="12"/>
      <c r="C135" s="12"/>
      <c r="D135" s="12"/>
      <c r="E135" s="22"/>
      <c r="F135" s="37"/>
    </row>
    <row r="136" spans="1:6" x14ac:dyDescent="0.25">
      <c r="A136" s="34" t="s">
        <v>129</v>
      </c>
      <c r="B136" s="12"/>
      <c r="C136" s="12"/>
      <c r="D136" s="12"/>
      <c r="E136" s="38">
        <v>0</v>
      </c>
      <c r="F136" s="39">
        <v>0</v>
      </c>
    </row>
    <row r="137" spans="1:6" x14ac:dyDescent="0.25">
      <c r="A137" s="40" t="s">
        <v>130</v>
      </c>
      <c r="B137" s="12"/>
      <c r="C137" s="12"/>
      <c r="D137" s="12"/>
      <c r="E137" s="38">
        <v>0</v>
      </c>
      <c r="F137" s="39">
        <v>0</v>
      </c>
    </row>
    <row r="138" spans="1:6" x14ac:dyDescent="0.25">
      <c r="A138" s="40" t="s">
        <v>131</v>
      </c>
      <c r="B138" s="12"/>
      <c r="C138" s="12"/>
      <c r="D138" s="12"/>
      <c r="E138" s="38">
        <v>0</v>
      </c>
      <c r="F138" s="39">
        <v>0</v>
      </c>
    </row>
    <row r="139" spans="1:6" x14ac:dyDescent="0.25">
      <c r="A139" s="40" t="s">
        <v>132</v>
      </c>
      <c r="B139" s="12"/>
      <c r="C139" s="12"/>
      <c r="D139" s="12"/>
      <c r="E139" s="38">
        <v>0</v>
      </c>
      <c r="F139" s="39">
        <v>0</v>
      </c>
    </row>
    <row r="140" spans="1:6" x14ac:dyDescent="0.25">
      <c r="A140" s="40" t="s">
        <v>133</v>
      </c>
      <c r="B140" s="12"/>
      <c r="C140" s="12"/>
      <c r="D140" s="12"/>
      <c r="E140" s="38">
        <v>0</v>
      </c>
      <c r="F140" s="39">
        <v>0</v>
      </c>
    </row>
    <row r="141" spans="1:6" x14ac:dyDescent="0.25">
      <c r="A141" s="40" t="s">
        <v>134</v>
      </c>
      <c r="B141" s="12"/>
      <c r="C141" s="12"/>
      <c r="D141" s="12"/>
      <c r="E141" s="38">
        <v>0</v>
      </c>
      <c r="F141" s="39">
        <v>0</v>
      </c>
    </row>
    <row r="142" spans="1:6" x14ac:dyDescent="0.25">
      <c r="A142" s="34" t="s">
        <v>135</v>
      </c>
      <c r="B142" s="12"/>
      <c r="C142" s="12"/>
      <c r="D142" s="12"/>
      <c r="E142" s="41">
        <f>209031-412351</f>
        <v>-203320</v>
      </c>
      <c r="F142" s="42" t="s">
        <v>136</v>
      </c>
    </row>
    <row r="143" spans="1:6" x14ac:dyDescent="0.25">
      <c r="A143" s="34"/>
      <c r="B143" s="12"/>
      <c r="C143" s="12"/>
      <c r="D143" s="12"/>
      <c r="E143" s="38"/>
      <c r="F143" s="43"/>
    </row>
    <row r="144" spans="1:6" x14ac:dyDescent="0.25">
      <c r="A144" s="36" t="s">
        <v>137</v>
      </c>
      <c r="B144" s="12"/>
      <c r="C144" s="12"/>
      <c r="D144" s="12"/>
      <c r="E144" s="38"/>
      <c r="F144" s="43"/>
    </row>
    <row r="145" spans="1:6" x14ac:dyDescent="0.25">
      <c r="A145" s="34"/>
      <c r="B145" s="12"/>
      <c r="C145" s="12"/>
      <c r="D145" s="12"/>
      <c r="E145" s="38"/>
      <c r="F145" s="43"/>
    </row>
    <row r="146" spans="1:6" x14ac:dyDescent="0.25">
      <c r="A146" s="34" t="s">
        <v>138</v>
      </c>
      <c r="B146" s="12"/>
      <c r="C146" s="12"/>
      <c r="D146" s="12"/>
      <c r="E146" s="38">
        <v>653000</v>
      </c>
      <c r="F146" s="39">
        <v>653000</v>
      </c>
    </row>
    <row r="147" spans="1:6" x14ac:dyDescent="0.25">
      <c r="A147" s="34"/>
      <c r="B147" s="12"/>
      <c r="C147" s="12"/>
      <c r="D147" s="12"/>
      <c r="E147" s="12"/>
      <c r="F147" s="44"/>
    </row>
    <row r="148" spans="1:6" ht="15.75" x14ac:dyDescent="0.25">
      <c r="A148" s="45" t="s">
        <v>139</v>
      </c>
      <c r="B148" s="46"/>
      <c r="C148" s="46"/>
      <c r="D148" s="46"/>
      <c r="E148" s="47">
        <v>4634329</v>
      </c>
      <c r="F148" s="48">
        <f>E150</f>
        <v>4863698</v>
      </c>
    </row>
    <row r="149" spans="1:6" ht="15.75" x14ac:dyDescent="0.25">
      <c r="A149" s="45" t="s">
        <v>140</v>
      </c>
      <c r="B149" s="46"/>
      <c r="C149" s="46"/>
      <c r="D149" s="46"/>
      <c r="E149" s="47">
        <f>SUM(E136:E142)+E146+E125</f>
        <v>229369</v>
      </c>
      <c r="F149" s="48">
        <f>SUM(F136:F142)+F146+F125</f>
        <v>341823.20000000019</v>
      </c>
    </row>
    <row r="150" spans="1:6" ht="16.5" thickBot="1" x14ac:dyDescent="0.3">
      <c r="A150" s="49" t="s">
        <v>141</v>
      </c>
      <c r="B150" s="50"/>
      <c r="C150" s="50"/>
      <c r="D150" s="50"/>
      <c r="E150" s="51">
        <f>SUM(E148:E149)</f>
        <v>4863698</v>
      </c>
      <c r="F150" s="52">
        <f>SUM(F148:F149)</f>
        <v>5205521.2</v>
      </c>
    </row>
    <row r="152" spans="1:6" ht="15.75" thickBot="1" x14ac:dyDescent="0.3"/>
    <row r="153" spans="1:6" ht="18.75" x14ac:dyDescent="0.3">
      <c r="A153" s="53" t="s">
        <v>142</v>
      </c>
      <c r="B153" s="31"/>
      <c r="C153" s="31"/>
      <c r="D153" s="31"/>
      <c r="E153" s="32">
        <v>2024</v>
      </c>
      <c r="F153" s="54">
        <v>2025</v>
      </c>
    </row>
    <row r="154" spans="1:6" x14ac:dyDescent="0.25">
      <c r="A154" s="55"/>
      <c r="B154" s="12"/>
      <c r="C154" s="12"/>
      <c r="D154" s="12"/>
      <c r="E154" s="22"/>
      <c r="F154" s="37"/>
    </row>
    <row r="155" spans="1:6" ht="15.75" x14ac:dyDescent="0.25">
      <c r="A155" s="56" t="s">
        <v>143</v>
      </c>
      <c r="B155" s="12"/>
      <c r="C155" s="57" t="s">
        <v>144</v>
      </c>
      <c r="D155" s="57" t="s">
        <v>145</v>
      </c>
      <c r="E155" s="47">
        <f>SUM(C156:D156)*250</f>
        <v>1243750</v>
      </c>
      <c r="F155" s="48">
        <f>SUM(C156:D156)*250</f>
        <v>1243750</v>
      </c>
    </row>
    <row r="156" spans="1:6" ht="15.75" x14ac:dyDescent="0.25">
      <c r="A156" s="58"/>
      <c r="B156" s="59"/>
      <c r="C156" s="60">
        <v>4963</v>
      </c>
      <c r="D156" s="60">
        <v>12</v>
      </c>
      <c r="E156" s="38"/>
      <c r="F156" s="61"/>
    </row>
    <row r="157" spans="1:6" x14ac:dyDescent="0.25">
      <c r="A157" s="55"/>
      <c r="B157" s="12"/>
      <c r="C157" s="12"/>
      <c r="D157" s="12"/>
      <c r="E157" s="62"/>
      <c r="F157" s="39"/>
    </row>
    <row r="158" spans="1:6" x14ac:dyDescent="0.25">
      <c r="A158" s="55" t="s">
        <v>146</v>
      </c>
      <c r="B158" s="12"/>
      <c r="C158" s="12"/>
      <c r="D158" s="12"/>
      <c r="E158" s="38">
        <v>432689</v>
      </c>
      <c r="F158" s="39">
        <v>523823</v>
      </c>
    </row>
    <row r="159" spans="1:6" x14ac:dyDescent="0.25">
      <c r="A159" s="55" t="s">
        <v>147</v>
      </c>
      <c r="B159" s="12"/>
      <c r="C159" s="12"/>
      <c r="D159" s="12"/>
      <c r="E159" s="38">
        <v>286000</v>
      </c>
      <c r="F159" s="39">
        <v>0</v>
      </c>
    </row>
    <row r="160" spans="1:6" ht="15.75" x14ac:dyDescent="0.25">
      <c r="A160" s="63" t="s">
        <v>148</v>
      </c>
      <c r="B160" s="46"/>
      <c r="C160" s="46"/>
      <c r="D160" s="46"/>
      <c r="E160" s="47">
        <f>SUM(E158:E159)</f>
        <v>718689</v>
      </c>
      <c r="F160" s="48">
        <f>SUM(F158:F159)</f>
        <v>523823</v>
      </c>
    </row>
    <row r="161" spans="1:6" ht="15.75" x14ac:dyDescent="0.25">
      <c r="A161" s="63" t="s">
        <v>149</v>
      </c>
      <c r="B161" s="46"/>
      <c r="C161" s="46"/>
      <c r="D161" s="46"/>
      <c r="E161" s="47">
        <f>E160/(C156+D156)</f>
        <v>144.46010050251257</v>
      </c>
      <c r="F161" s="48">
        <f>F160/(C156+D156)</f>
        <v>105.29105527638191</v>
      </c>
    </row>
    <row r="162" spans="1:6" x14ac:dyDescent="0.25">
      <c r="A162" s="55"/>
      <c r="B162" s="12"/>
      <c r="C162" s="12"/>
      <c r="D162" s="12"/>
      <c r="E162" s="12"/>
      <c r="F162" s="44"/>
    </row>
    <row r="163" spans="1:6" ht="15.75" x14ac:dyDescent="0.25">
      <c r="A163" s="56" t="s">
        <v>150</v>
      </c>
      <c r="B163" s="46"/>
      <c r="C163" s="46"/>
      <c r="D163" s="46"/>
      <c r="E163" s="47">
        <f>E160-E155</f>
        <v>-525061</v>
      </c>
      <c r="F163" s="48">
        <f>F160-F155</f>
        <v>-719927</v>
      </c>
    </row>
    <row r="164" spans="1:6" ht="15.75" x14ac:dyDescent="0.25">
      <c r="A164" s="56" t="s">
        <v>151</v>
      </c>
      <c r="B164" s="46"/>
      <c r="C164" s="46"/>
      <c r="D164" s="46"/>
      <c r="E164" s="64">
        <f>E163/(C156+D156)</f>
        <v>-105.53989949748744</v>
      </c>
      <c r="F164" s="65">
        <f>F163/(C156+D156)</f>
        <v>-144.70894472361809</v>
      </c>
    </row>
    <row r="165" spans="1:6" ht="15.75" x14ac:dyDescent="0.25">
      <c r="A165" s="66"/>
      <c r="B165" s="46"/>
      <c r="C165" s="46"/>
      <c r="D165" s="46"/>
      <c r="E165" s="64"/>
      <c r="F165" s="65"/>
    </row>
    <row r="166" spans="1:6" ht="18.75" x14ac:dyDescent="0.3">
      <c r="A166" s="67" t="s">
        <v>152</v>
      </c>
      <c r="B166" s="46"/>
      <c r="C166" s="46"/>
      <c r="D166" s="46"/>
      <c r="E166" s="64"/>
      <c r="F166" s="65"/>
    </row>
    <row r="167" spans="1:6" x14ac:dyDescent="0.25">
      <c r="A167" s="55"/>
      <c r="B167" s="12"/>
      <c r="C167" s="12"/>
      <c r="D167" s="12"/>
      <c r="E167" s="12"/>
      <c r="F167" s="44"/>
    </row>
    <row r="168" spans="1:6" ht="15.75" x14ac:dyDescent="0.25">
      <c r="A168" s="63" t="s">
        <v>153</v>
      </c>
      <c r="B168" s="46"/>
      <c r="C168" s="46"/>
      <c r="D168" s="46"/>
      <c r="E168" s="47">
        <f>0/C156</f>
        <v>0</v>
      </c>
      <c r="F168" s="48">
        <f>(0+SUM(F136:F138))/C156</f>
        <v>0</v>
      </c>
    </row>
    <row r="169" spans="1:6" ht="15.75" x14ac:dyDescent="0.25">
      <c r="A169" s="63" t="s">
        <v>154</v>
      </c>
      <c r="B169" s="46"/>
      <c r="C169" s="46"/>
      <c r="D169" s="46"/>
      <c r="E169" s="47">
        <f>58263*0.75</f>
        <v>43697.25</v>
      </c>
      <c r="F169" s="48">
        <f>68263*0.75</f>
        <v>51197.25</v>
      </c>
    </row>
    <row r="170" spans="1:6" ht="15.75" x14ac:dyDescent="0.25">
      <c r="A170" s="68" t="s">
        <v>155</v>
      </c>
      <c r="B170" s="46"/>
      <c r="C170" s="46"/>
      <c r="D170" s="46"/>
      <c r="E170" s="47">
        <f>E169*0.2-E168</f>
        <v>8739.4500000000007</v>
      </c>
      <c r="F170" s="48">
        <f>F169*0.2-F168</f>
        <v>10239.450000000001</v>
      </c>
    </row>
    <row r="171" spans="1:6" ht="15.75" x14ac:dyDescent="0.25">
      <c r="A171" s="63"/>
      <c r="B171" s="46"/>
      <c r="C171" s="46"/>
      <c r="D171" s="46"/>
      <c r="E171" s="69"/>
      <c r="F171" s="70"/>
    </row>
    <row r="172" spans="1:6" ht="15.75" x14ac:dyDescent="0.25">
      <c r="A172" s="56" t="s">
        <v>156</v>
      </c>
      <c r="B172" s="46"/>
      <c r="C172" s="46"/>
      <c r="D172" s="46"/>
      <c r="E172" s="71">
        <f>E168/E169</f>
        <v>0</v>
      </c>
      <c r="F172" s="72">
        <f>F168/F169</f>
        <v>0</v>
      </c>
    </row>
    <row r="173" spans="1:6" ht="15.75" x14ac:dyDescent="0.25">
      <c r="A173" s="56"/>
      <c r="B173" s="12"/>
      <c r="C173" s="12"/>
      <c r="D173" s="12"/>
      <c r="E173" s="73"/>
      <c r="F173" s="74"/>
    </row>
    <row r="174" spans="1:6" ht="16.5" thickBot="1" x14ac:dyDescent="0.3">
      <c r="A174" s="75" t="s">
        <v>157</v>
      </c>
      <c r="B174" s="50"/>
      <c r="C174" s="50"/>
      <c r="D174" s="50"/>
      <c r="E174" s="76"/>
      <c r="F174" s="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Lindblad</dc:creator>
  <cp:lastModifiedBy>Lasse Lindblad</cp:lastModifiedBy>
  <dcterms:created xsi:type="dcterms:W3CDTF">2025-04-10T18:07:28Z</dcterms:created>
  <dcterms:modified xsi:type="dcterms:W3CDTF">2025-04-10T18:11:51Z</dcterms:modified>
</cp:coreProperties>
</file>